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calcChain+xml" PartName="/xl/calcChain.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 ?><Relationships xmlns="http://schemas.openxmlformats.org/package/2006/relationships"><Relationship Id="rId3" Target="docProps/app.xml" Type="http://schemas.openxmlformats.org/officeDocument/2006/relationships/extended-properties"/><Relationship Id="rId2" Target="docProps/core.xml" Type="http://schemas.openxmlformats.org/package/2006/relationships/metadata/core-properties"/><Relationship Id="rId1" Target="xl/workbook.xml" Type="http://schemas.openxmlformats.org/officeDocument/2006/relationships/officeDocument"/><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DOCUMENTOS OCI\2.6-52 INFORMES\2.4-52.3 Informe a Organismos del Estado\DAFP\EVALUACIÓN INDEPENDIENTE 2021\"/>
    </mc:Choice>
  </mc:AlternateContent>
  <bookViews>
    <workbookView xWindow="0" yWindow="0" windowWidth="28800" windowHeight="11730" firstSheet="3" activeTab="8"/>
  </bookViews>
  <sheets>
    <sheet name="Instructivo" sheetId="23" r:id="rId1"/>
    <sheet name="Definiciones" sheetId="22" r:id="rId2"/>
    <sheet name="Ambiente de Control" sheetId="24" r:id="rId3"/>
    <sheet name="Evaluación de riesgos" sheetId="18" r:id="rId4"/>
    <sheet name="Actividades de control" sheetId="17" r:id="rId5"/>
    <sheet name="Info y Comunicación" sheetId="19" r:id="rId6"/>
    <sheet name="Actividades de Monitoreo" sheetId="20" r:id="rId7"/>
    <sheet name="Analisis de Resultados" sheetId="29" r:id="rId8"/>
    <sheet name="Conclusiones" sheetId="26" r:id="rId9"/>
    <sheet name="Hoja1" sheetId="28"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0" localSheetId="7">#REF!</definedName>
    <definedName name="\0">#REF!</definedName>
    <definedName name="\BD" localSheetId="7">#REF!</definedName>
    <definedName name="\BD">#REF!</definedName>
    <definedName name="\BJ" localSheetId="7">#REF!</definedName>
    <definedName name="\BJ">#REF!</definedName>
    <definedName name="\BP" localSheetId="7">#REF!</definedName>
    <definedName name="\BP">#REF!</definedName>
    <definedName name="\c" localSheetId="7">[1]BDATOS!#REF!</definedName>
    <definedName name="\c">[1]BDATOS!#REF!</definedName>
    <definedName name="\CA" localSheetId="7">#REF!</definedName>
    <definedName name="\CA">#REF!</definedName>
    <definedName name="\i" localSheetId="7">#REF!</definedName>
    <definedName name="\i">#REF!</definedName>
    <definedName name="\m" localSheetId="7">#REF!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 localSheetId="7">'[3]384-Acciones Corporacion'!#REF!</definedName>
    <definedName name="_296">'[3]384-Acciones Corporacion'!#REF!</definedName>
    <definedName name="_3__123Graph_AC86W90" hidden="1">[2]WIZ!$AF$19:$AF$30</definedName>
    <definedName name="_304" localSheetId="7">'[3]384-Acciones Corporacion'!#REF!</definedName>
    <definedName name="_304">'[3]384-Acciones Corporacion'!#REF!</definedName>
    <definedName name="_312" localSheetId="7">'[3]384-Acciones Corporacion'!#REF!</definedName>
    <definedName name="_312">'[3]384-Acciones Corporacion'!#REF!</definedName>
    <definedName name="_320" localSheetId="7">'[3]384-Acciones Corporacion'!#REF!</definedName>
    <definedName name="_320">'[3]384-Acciones Corporacion'!#REF!</definedName>
    <definedName name="_336" localSheetId="7">'[3]384-Acciones Corporacion'!#REF!</definedName>
    <definedName name="_336">'[3]384-Acciones Corporacion'!#REF!</definedName>
    <definedName name="_344" localSheetId="7">'[3]384-Acciones Corporacion'!#REF!</definedName>
    <definedName name="_344">'[3]384-Acciones Corporacion'!#REF!</definedName>
    <definedName name="_352" localSheetId="7">'[3]384-Acciones Corporacion'!#REF!</definedName>
    <definedName name="_352">'[3]384-Acciones Corporacion'!#REF!</definedName>
    <definedName name="_4__123Graph_BC86W_2" hidden="1">[2]WIZ!$F$32:$F$43</definedName>
    <definedName name="_5__123Graph_BC86W30" hidden="1">[2]WIZ!$AE$32:$AE$43</definedName>
    <definedName name="_522" localSheetId="7">'[3]384-Acciones Corporacion'!#REF!</definedName>
    <definedName name="_522">'[3]384-Acciones Corporacion'!#REF!</definedName>
    <definedName name="_530" localSheetId="7">'[3]384-Acciones Corporacion'!#REF!</definedName>
    <definedName name="_530">'[3]384-Acciones Corporacion'!#REF!</definedName>
    <definedName name="_546" localSheetId="7">'[3]384-Acciones Corporacion'!#REF!</definedName>
    <definedName name="_546">'[3]384-Acciones Corporacion'!#REF!</definedName>
    <definedName name="_554" localSheetId="7">'[3]384-Acciones Corporacion'!#REF!</definedName>
    <definedName name="_554">'[3]384-Acciones Corporacion'!#REF!</definedName>
    <definedName name="_562" localSheetId="7">'[3]384-Acciones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4" hidden="1">'Actividades de control'!$C$1:$C$122</definedName>
    <definedName name="_xlnm._FilterDatabase" localSheetId="7" hidden="1">#REF!</definedName>
    <definedName name="_xlnm._FilterDatabase" localSheetId="3" hidden="1">'Evaluación de riesgos'!$C$5:$C$160</definedName>
    <definedName name="_xlnm._FilterDatabase" localSheetId="5" hidden="1">'Info y Comunicación'!$C$1:$C$138</definedName>
    <definedName name="_xlnm._FilterDatabase" hidden="1">#REF!</definedName>
    <definedName name="_Key1" localSheetId="7" hidden="1">#REF!</definedName>
    <definedName name="_Key1" hidden="1">#REF!</definedName>
    <definedName name="_Key2" localSheetId="7" hidden="1">#REF!</definedName>
    <definedName name="_Key2" hidden="1">#REF!</definedName>
    <definedName name="_Order1" hidden="1">255</definedName>
    <definedName name="_Order2" hidden="1">255</definedName>
    <definedName name="_Parse_Out" localSheetId="7" hidden="1">[4]B.BTA.S.VALORES!#REF!</definedName>
    <definedName name="_Parse_Out" hidden="1">[4]B.BTA.S.VALORES!#REF!</definedName>
    <definedName name="_Sort" localSheetId="7" hidden="1">#REF!</definedName>
    <definedName name="_Sort" hidden="1">#REF!</definedName>
    <definedName name="A">[5]oficial!$A$1:$H$160</definedName>
    <definedName name="A_IMPRESIÓN_IM" localSheetId="7">#REF!</definedName>
    <definedName name="A_IMPRESIÓN_IM">#REF!</definedName>
    <definedName name="A205_" localSheetId="7">#REF!</definedName>
    <definedName name="A205_">#REF!</definedName>
    <definedName name="A242_" localSheetId="7">#REF!</definedName>
    <definedName name="A242_">#REF!</definedName>
    <definedName name="A255_" localSheetId="7">#REF!</definedName>
    <definedName name="A255_">#REF!</definedName>
    <definedName name="A498_" localSheetId="7">#REF!</definedName>
    <definedName name="A498_">#REF!</definedName>
    <definedName name="A534_">#N/A</definedName>
    <definedName name="A598_" localSheetId="7">#REF!</definedName>
    <definedName name="A598_">#REF!</definedName>
    <definedName name="A641_" localSheetId="7">#REF!</definedName>
    <definedName name="A641_">#REF!</definedName>
    <definedName name="A68_" localSheetId="7">#REF!</definedName>
    <definedName name="A68_">#REF!</definedName>
    <definedName name="A784_" localSheetId="7">#REF!</definedName>
    <definedName name="A784_">#REF!</definedName>
    <definedName name="ACCIONISTASTOTAL" localSheetId="7">'[6]Oper recip'!#REF!</definedName>
    <definedName name="ACCIONISTASTOTAL">'[6]Oper recip'!#REF!</definedName>
    <definedName name="Accounts" localSheetId="7">#REF!</definedName>
    <definedName name="Accounts">#REF!</definedName>
    <definedName name="Accrual___payment_of_dividends" localSheetId="7">#REF!</definedName>
    <definedName name="Accrual___payment_of_dividends">#REF!</definedName>
    <definedName name="ACT" localSheetId="7">#REF!</definedName>
    <definedName name="ACT">#REF!</definedName>
    <definedName name="AFANT" localSheetId="7">#REF!</definedName>
    <definedName name="AFANT">#REF!</definedName>
    <definedName name="AFHOY" localSheetId="7">#REF!</definedName>
    <definedName name="AFHOY">#REF!</definedName>
    <definedName name="ahaccionistas01" localSheetId="7">#REF!</definedName>
    <definedName name="ahaccionistas01">#REF!</definedName>
    <definedName name="AJPAAG" localSheetId="7">#REF!</definedName>
    <definedName name="AJPAAG">#REF!</definedName>
    <definedName name="Anexo" localSheetId="0" hidden="1">{"'para SB'!$A$1420:$F$1479"}</definedName>
    <definedName name="Anexo" hidden="1">{"'para SB'!$A$1420:$F$1479"}</definedName>
    <definedName name="año" localSheetId="7">#REF!</definedName>
    <definedName name="año">#REF!</definedName>
    <definedName name="AÑO_A_PROCESAR" localSheetId="7">#REF!</definedName>
    <definedName name="AÑO_A_PROCESAR">#REF!</definedName>
    <definedName name="año1" localSheetId="7">#REF!</definedName>
    <definedName name="año1">#REF!</definedName>
    <definedName name="AÑOS_A_PROCESAR" localSheetId="7">#REF!</definedName>
    <definedName name="AÑOS_A_PROCESAR">#REF!</definedName>
    <definedName name="AppName" localSheetId="7">#REF!</definedName>
    <definedName name="AppName">#REF!</definedName>
    <definedName name="_xlnm.Print_Area" localSheetId="7">#REF!</definedName>
    <definedName name="_xlnm.Print_Area" localSheetId="8">Conclusiones!$C$3:$O$37</definedName>
    <definedName name="_xlnm.Print_Area">#REF!</definedName>
    <definedName name="Área_de_impresión1" localSheetId="7">#REF!</definedName>
    <definedName name="Área_de_impresión1">#REF!</definedName>
    <definedName name="AS2DocOpenMode" hidden="1">"AS2DocumentEdit"</definedName>
    <definedName name="AS2ReportLS" hidden="1">1</definedName>
    <definedName name="AS2SyncStepLS" hidden="1">0</definedName>
    <definedName name="AS2TickmarkLS" localSheetId="7" hidden="1">#REF!</definedName>
    <definedName name="AS2TickmarkLS" hidden="1">#REF!</definedName>
    <definedName name="AS2VersionLS" hidden="1">300</definedName>
    <definedName name="ASFSD" localSheetId="7">#REF!</definedName>
    <definedName name="ASFSD">#REF!</definedName>
    <definedName name="Assertions" localSheetId="7">#REF!</definedName>
    <definedName name="Assertions">#REF!</definedName>
    <definedName name="BASE" localSheetId="7">#REF!</definedName>
    <definedName name="BASE">#REF!</definedName>
    <definedName name="BCE" localSheetId="7">#REF!</definedName>
    <definedName name="BCE">#REF!</definedName>
    <definedName name="BCEBONOS" localSheetId="7">#REF!</definedName>
    <definedName name="BCEBONOS">#REF!</definedName>
    <definedName name="BCECAMBIOS" localSheetId="7">#REF!</definedName>
    <definedName name="BCECAMBIOS">#REF!</definedName>
    <definedName name="BCEEMPRESA" localSheetId="7">#REF!</definedName>
    <definedName name="BCEEMPRESA">#REF!</definedName>
    <definedName name="BCERENTA" localSheetId="7">#REF!</definedName>
    <definedName name="BCERENTA">#REF!</definedName>
    <definedName name="BCETESOROS" localSheetId="7">#REF!</definedName>
    <definedName name="BCETESOROS">#REF!</definedName>
    <definedName name="BG_Del" hidden="1">15</definedName>
    <definedName name="BG_Ins" hidden="1">4</definedName>
    <definedName name="BG_Mod" hidden="1">6</definedName>
    <definedName name="BLOQUE" localSheetId="7">#REF!</definedName>
    <definedName name="BLOQUE">#REF!</definedName>
    <definedName name="BuiltIn_Print_Area___0" localSheetId="7">#REF!</definedName>
    <definedName name="BuiltIn_Print_Area___0">#REF!</definedName>
    <definedName name="BuiltIn_Print_Titles___0" localSheetId="7">#REF!</definedName>
    <definedName name="BuiltIn_Print_Titles___0">#REF!</definedName>
    <definedName name="CALCULO" localSheetId="7">[1]BDATOS!#REF!</definedName>
    <definedName name="CALCULO">[1]BDATOS!#REF!</definedName>
    <definedName name="CAR" localSheetId="7">#REF!</definedName>
    <definedName name="CAR">#REF!</definedName>
    <definedName name="CAVR" localSheetId="7">#REF!</definedName>
    <definedName name="CAVR">#REF!</definedName>
    <definedName name="cdtaccinistas01" localSheetId="7">#REF!</definedName>
    <definedName name="cdtaccinistas01">#REF!</definedName>
    <definedName name="CO.Otros_Cuentas" localSheetId="7">#REF!</definedName>
    <definedName name="CO.Otros_Cuentas">#REF!</definedName>
    <definedName name="CO.Otros_Monto" localSheetId="7">#REF!</definedName>
    <definedName name="CO.Otros_Monto">#REF!</definedName>
    <definedName name="CO.Riesgo_Cuentas" localSheetId="7">#REF!</definedName>
    <definedName name="CO.Riesgo_Cuentas">#REF!</definedName>
    <definedName name="CO.Riesgo_Monto" localSheetId="7">#REF!</definedName>
    <definedName name="CO.Riesgo_Monto">#REF!</definedName>
    <definedName name="CO.Tesoreria_Cuentas" localSheetId="7">#REF!</definedName>
    <definedName name="CO.Tesoreria_Cuentas">#REF!</definedName>
    <definedName name="COMP3CM" localSheetId="7">#REF!,#REF!,#REF!,#REF!,#REF!</definedName>
    <definedName name="COMP3CM">#REF!,#REF!,#REF!,#REF!,#REF!</definedName>
    <definedName name="COMP3PM" localSheetId="7">#REF!,#REF!,#REF!,#REF!</definedName>
    <definedName name="COMP3PM">#REF!,#REF!,#REF!,#REF!</definedName>
    <definedName name="COMP3PY" localSheetId="7">#REF!,#REF!,#REF!,#REF!,#REF!</definedName>
    <definedName name="COMP3PY">#REF!,#REF!,#REF!,#REF!,#REF!</definedName>
    <definedName name="COMPCM" localSheetId="7">#REF!,#REF!,#REF!,#REF!,#REF!,#REF!,#REF!</definedName>
    <definedName name="COMPCM">#REF!,#REF!,#REF!,#REF!,#REF!,#REF!,#REF!</definedName>
    <definedName name="COMPPM" localSheetId="7">#REF!,#REF!,#REF!,#REF!,#REF!,#REF!,#REF!</definedName>
    <definedName name="COMPPM">#REF!,#REF!,#REF!,#REF!,#REF!,#REF!,#REF!</definedName>
    <definedName name="COMPPY" localSheetId="7">#REF!,#REF!,#REF!,#REF!,#REF!,#REF!,#REF!,#REF!</definedName>
    <definedName name="COMPPY">#REF!,#REF!,#REF!,#REF!,#REF!,#REF!,#REF!,#REF!</definedName>
    <definedName name="con10_partic" localSheetId="7">#REF!</definedName>
    <definedName name="con10_partic">#REF!</definedName>
    <definedName name="conahdirectivos01" localSheetId="7">#REF!</definedName>
    <definedName name="conahdirectivos01">#REF!</definedName>
    <definedName name="conahojunta01" localSheetId="7">#REF!</definedName>
    <definedName name="conahojunta01">#REF!</definedName>
    <definedName name="concdtdirectivos01" localSheetId="7">#REF!</definedName>
    <definedName name="concdtdirectivos01">#REF!</definedName>
    <definedName name="concdtentidades01" localSheetId="7">#REF!</definedName>
    <definedName name="concdtentidades01">#REF!</definedName>
    <definedName name="CONGASTO" localSheetId="7">[1]BDATOS!#REF!</definedName>
    <definedName name="CONGASTO">[1]BDATOS!#REF!</definedName>
    <definedName name="conotros" localSheetId="7">#REF!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 localSheetId="7">[9]!ContAverage</definedName>
    <definedName name="ContAverage">[9]!ContAverage</definedName>
    <definedName name="CORDEN" localSheetId="7">#REF!</definedName>
    <definedName name="CORDEN">#REF!</definedName>
    <definedName name="CREDITO">[10]oficial!$H$1:$H$160</definedName>
    <definedName name="CUENTA96" localSheetId="7">#REF!</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localSheetId="7" hidden="1">[4]B.BTA.S.VALORES!#REF!</definedName>
    <definedName name="Div" hidden="1">[4]B.BTA.S.VALORES!#REF!</definedName>
    <definedName name="Divide" localSheetId="7">#REF!</definedName>
    <definedName name="Divide">#REF!</definedName>
    <definedName name="doce">'[13]Anexo-Participaciones Dic-11'!$E$22</definedName>
    <definedName name="ELIEXTRA">'[14]ELIMINA EXT'!$A$3:$Y$217</definedName>
    <definedName name="ELIFIL">[14]ELIMINA!$A$4:$AM$231</definedName>
    <definedName name="ELIMEXT" localSheetId="7">#REF!</definedName>
    <definedName name="ELIMEXT">#REF!</definedName>
    <definedName name="ELIMINA" localSheetId="7">#REF!</definedName>
    <definedName name="ELIMINA">#REF!</definedName>
    <definedName name="entidades" localSheetId="7">#REF!</definedName>
    <definedName name="entidades">#REF!</definedName>
    <definedName name="EPIANDES" localSheetId="7">#REF!</definedName>
    <definedName name="EPIANDES">#REF!</definedName>
    <definedName name="ESCRIBA" localSheetId="7">[1]BDATOS!#REF!</definedName>
    <definedName name="ESCRIBA">[1]BDATOS!#REF!</definedName>
    <definedName name="ESTADOS_FINANCIEROS_A_PROCESAR" localSheetId="7">#REF!</definedName>
    <definedName name="ESTADOS_FINANCIEROS_A_PROCESAR">#REF!</definedName>
    <definedName name="ESTCAM" localSheetId="7">#REF!</definedName>
    <definedName name="ESTCAM">#REF!</definedName>
    <definedName name="ET" localSheetId="7">#REF!</definedName>
    <definedName name="ET">#REF!</definedName>
    <definedName name="FailureActual" localSheetId="7">[9]!FailureActual</definedName>
    <definedName name="FailureActual">[9]!FailureActual</definedName>
    <definedName name="FailurePlan" localSheetId="7">[9]!FailurePlan</definedName>
    <definedName name="FailurePlan">[9]!FailurePlan</definedName>
    <definedName name="FILEXT">[14]FILIALEXT!$A$1:$L$4091</definedName>
    <definedName name="FILIAL">[14]FILIAL!$A$3:$AE$5414</definedName>
    <definedName name="FleetAdj" localSheetId="7">[9]!FleetAdj</definedName>
    <definedName name="FleetAdj">[9]!FleetAdj</definedName>
    <definedName name="FleetNoAdj" localSheetId="7">[9]!FleetNoAdj</definedName>
    <definedName name="FleetNoAdj">[9]!FleetNoAdj</definedName>
    <definedName name="GastosRegionales_Monto">'[15]Gastos regionales'!$G$8:$G$47</definedName>
    <definedName name="gorr">"Botón 17"</definedName>
    <definedName name="HTML_CodePage" hidden="1">1252</definedName>
    <definedName name="HTML_Control" localSheetId="0" hidden="1">{"'para SB'!$A$1420:$F$1479"}</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 localSheetId="7">#REF!</definedName>
    <definedName name="INDI">#REF!</definedName>
    <definedName name="INDICACART" localSheetId="7">#REF!</definedName>
    <definedName name="INDICACART">#REF!</definedName>
    <definedName name="INVER" localSheetId="7">#REF!</definedName>
    <definedName name="INVER">#REF!</definedName>
    <definedName name="junio111" localSheetId="7">#REF!</definedName>
    <definedName name="junio111">#REF!</definedName>
    <definedName name="JUNTA" localSheetId="7">#REF!</definedName>
    <definedName name="JUNTA">#REF!</definedName>
    <definedName name="JUNTA1" localSheetId="7">#REF!</definedName>
    <definedName name="JUNTA1">#REF!</definedName>
    <definedName name="LLPModel" localSheetId="7">[16]!LLPModel</definedName>
    <definedName name="LLPModel">[16]!LLPModel</definedName>
    <definedName name="MATRIZ">[17]MATRIZ!$A$7:$BY$4664</definedName>
    <definedName name="MC.PL_Cuentas" localSheetId="7">#REF!</definedName>
    <definedName name="MC.PL_Cuentas">#REF!</definedName>
    <definedName name="MC.PL_Monto" localSheetId="7">#REF!</definedName>
    <definedName name="MC.PL_Monto">#REF!</definedName>
    <definedName name="MESANT" localSheetId="7">#REF!</definedName>
    <definedName name="MESANT">#REF!</definedName>
    <definedName name="MESES">'[18]7'!$AL$3:$AL$7</definedName>
    <definedName name="MESHOY" localSheetId="7">#REF!</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 localSheetId="7">#REF!</definedName>
    <definedName name="MultiSelectNames">#REF!</definedName>
    <definedName name="Nivel" localSheetId="7">#REF!</definedName>
    <definedName name="Nivel">#REF!</definedName>
    <definedName name="NOPUC" localSheetId="7">#REF!</definedName>
    <definedName name="NOPUC">#REF!</definedName>
    <definedName name="OFI">[10]oficial!$A$1:$H$160</definedName>
    <definedName name="ORDEN1" localSheetId="7">#REF!</definedName>
    <definedName name="ORDEN1">#REF!</definedName>
    <definedName name="ORDEN2" localSheetId="7">#REF!</definedName>
    <definedName name="ORDEN2">#REF!</definedName>
    <definedName name="ORDEN3" localSheetId="7">#REF!</definedName>
    <definedName name="ORDEN3">#REF!</definedName>
    <definedName name="ORDEN4" localSheetId="7">#REF!</definedName>
    <definedName name="ORDEN4">#REF!</definedName>
    <definedName name="ORDEN5" localSheetId="7">#REF!</definedName>
    <definedName name="ORDEN5">#REF!</definedName>
    <definedName name="ORDEN6" localSheetId="7">#REF!</definedName>
    <definedName name="ORDEN6">#REF!</definedName>
    <definedName name="p">'[19]Participación Accionaria Junio '!$K$11</definedName>
    <definedName name="PAS" localSheetId="7">#REF!</definedName>
    <definedName name="PAS">#REF!</definedName>
    <definedName name="PAT" localSheetId="7">#REF!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 localSheetId="7">#REF!</definedName>
    <definedName name="PRES">#REF!</definedName>
    <definedName name="PRES1" localSheetId="7">#REF!</definedName>
    <definedName name="PRES1">#REF!</definedName>
    <definedName name="Presup" localSheetId="7">SUMIF([22]DATA!$H$1:$H$65536,#REF!&amp;"-"&amp;#REF!&amp;"-"&amp;MONTH(#REF!),[22]DATA!$G$1:$G$65536)</definedName>
    <definedName name="Presup">SUMIF([22]DATA!$H$1:$H$65536,#REF!&amp;"-"&amp;#REF!&amp;"-"&amp;MONTH(#REF!),[22]DATA!$G$1:$G$65536)</definedName>
    <definedName name="ProductivityWith" localSheetId="7">[9]!ProductivityWith</definedName>
    <definedName name="ProductivityWith">[9]!ProductivityWith</definedName>
    <definedName name="ProductivityWithout" localSheetId="7">[9]!ProductivityWithout</definedName>
    <definedName name="ProductivityWithout">[9]!ProductivityWithout</definedName>
    <definedName name="PUC" localSheetId="7">#REF!</definedName>
    <definedName name="PUC">#REF!</definedName>
    <definedName name="PYG" localSheetId="7">#REF!</definedName>
    <definedName name="PYG">#REF!</definedName>
    <definedName name="PYGBONOS" localSheetId="7">#REF!</definedName>
    <definedName name="PYGBONOS">#REF!</definedName>
    <definedName name="PYGCAMBIOS" localSheetId="7">#REF!</definedName>
    <definedName name="PYGCAMBIOS">#REF!</definedName>
    <definedName name="PYGRENTA" localSheetId="7">#REF!</definedName>
    <definedName name="PYGRENTA">#REF!</definedName>
    <definedName name="PYGTESOROS" localSheetId="7">#REF!</definedName>
    <definedName name="PYGTESOROS">#REF!</definedName>
    <definedName name="qeq">SUMIF([7]DATA1!$B$1:$B$65536,[8]Octubre!$C1,[7]DATA1!XFA$1:XFA$65536)</definedName>
    <definedName name="ref_contr" localSheetId="7">#REF!</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localSheetId="0" hidden="1">{"'Sheet1'!$A$1:$F$179"}</definedName>
    <definedName name="ro" hidden="1">{"'Sheet1'!$A$1:$F$179"}</definedName>
    <definedName name="rod" localSheetId="0" hidden="1">{"'Sheet1'!$A$1:$F$179"}</definedName>
    <definedName name="rod" hidden="1">{"'Sheet1'!$A$1:$F$179"}</definedName>
    <definedName name="rodirgo" localSheetId="0" hidden="1">{"'Sheet1'!$A$1:$F$179"}</definedName>
    <definedName name="rodirgo" hidden="1">{"'Sheet1'!$A$1:$F$179"}</definedName>
    <definedName name="Saldo">SUMIF([7]DATA2!XFB$1:XFB$65536,[8]Octubre!$C1,[7]DATA2!A$1:A$65536)</definedName>
    <definedName name="sdaf" localSheetId="0" hidden="1">{"'para SB'!$A$1420:$F$1479"}</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 localSheetId="7">#REF!</definedName>
    <definedName name="TestTypes">#REF!</definedName>
    <definedName name="TextRefCopyRangeCount" hidden="1">1</definedName>
    <definedName name="_xlnm.Print_Titles" localSheetId="8">Conclusiones!$23:$24</definedName>
    <definedName name="Títulos_a_imprimir_IM" localSheetId="7">#REF!,#REF!</definedName>
    <definedName name="Títulos_a_imprimir_IM">#REF!,#REF!</definedName>
    <definedName name="TOTAL" localSheetId="7">#REF!</definedName>
    <definedName name="TOTAL">#REF!</definedName>
    <definedName name="Total_Contagio">SUMIF([7]DATA1!$B$1:$B$65536,[8]Octubre!$C1,[7]DATA1!K$1:K$65536)</definedName>
    <definedName name="Total_Mora">SUMIF([7]DATA1!$B$1:$B$65536,[8]Octubre!$C1,[7]DATA1!K$1:K$65536)</definedName>
    <definedName name="TypesOfTransaction" localSheetId="7">#REF!</definedName>
    <definedName name="TypesOfTransaction">#REF!</definedName>
    <definedName name="uno">'[13]Anexo-Participaciones Dic-11'!$E$9</definedName>
    <definedName name="utilidad" localSheetId="7">'[6]Estado de Resultados'!#REF!</definedName>
    <definedName name="utilidad">'[6]Estado de Resultados'!#REF!</definedName>
    <definedName name="VALID" localSheetId="7">#REF!</definedName>
    <definedName name="VALID">#REF!</definedName>
    <definedName name="VALOR" localSheetId="0" hidden="1">{#N/A,#N/A,FALSE,"ANEXO1";"ACTIVO",#N/A,FALSE,"ANEXO1";"PASIVO",#N/A,FALSE,"ANEXO1";"G Y P",#N/A,FALSE,"ANEXO1"}</definedName>
    <definedName name="VALOR" hidden="1">{#N/A,#N/A,FALSE,"ANEXO1";"ACTIVO",#N/A,FALSE,"ANEXO1";"PASIVO",#N/A,FALSE,"ANEXO1";"G Y P",#N/A,FALSE,"ANEXO1"}</definedName>
    <definedName name="veinticuatro" localSheetId="7">#REF!</definedName>
    <definedName name="veinticuatro">#REF!</definedName>
    <definedName name="veintidos" localSheetId="7">#REF!</definedName>
    <definedName name="veintidos">#REF!</definedName>
    <definedName name="veintitres" localSheetId="7">#REF!</definedName>
    <definedName name="veintitres">#REF!</definedName>
    <definedName name="veintiuno" localSheetId="7">#REF!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localSheetId="0" hidden="1">{#N/A,#N/A,FALSE,"ANEXO1";"ACTIVO",#N/A,FALSE,"ANEXO1";"PASIVO",#N/A,FALSE,"ANEXO1";"G Y P",#N/A,FALSE,"ANEXO1"}</definedName>
    <definedName name="wrn.CONSOLIDADO." hidden="1">{#N/A,#N/A,FALSE,"ANEXO1";"ACTIVO",#N/A,FALSE,"ANEXO1";"PASIVO",#N/A,FALSE,"ANEXO1";"G Y P",#N/A,FALSE,"ANEXO1"}</definedName>
    <definedName name="ws" localSheetId="0" hidden="1">{"'Sheet1'!$A$1:$F$179"}</definedName>
    <definedName name="ws" hidden="1">{"'Sheet1'!$A$1:$F$179"}</definedName>
    <definedName name="XXX" localSheetId="7">#REF!</definedName>
    <definedName name="XXX">#REF!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4" i="24" l="1"/>
  <c r="B54" i="28"/>
  <c r="B53" i="28"/>
  <c r="B19" i="28"/>
  <c r="K127" i="20"/>
  <c r="L127" i="20"/>
  <c r="K119" i="20"/>
  <c r="L119" i="20"/>
  <c r="K111" i="20"/>
  <c r="L111" i="20"/>
  <c r="K103" i="20"/>
  <c r="L103" i="20"/>
  <c r="K95" i="20"/>
  <c r="L95" i="20"/>
  <c r="K87" i="20"/>
  <c r="L87" i="20"/>
  <c r="K79" i="20"/>
  <c r="L79" i="20"/>
  <c r="K71" i="20"/>
  <c r="L71" i="20"/>
  <c r="K63" i="20"/>
  <c r="L63" i="20"/>
  <c r="K52" i="20"/>
  <c r="L52" i="20"/>
  <c r="K44" i="20"/>
  <c r="L44" i="20"/>
  <c r="N44" i="20"/>
  <c r="B20" i="20"/>
  <c r="B28" i="20"/>
  <c r="B36" i="20"/>
  <c r="B44" i="20"/>
  <c r="G72" i="28"/>
  <c r="K36" i="20"/>
  <c r="L36" i="20"/>
  <c r="K28" i="20"/>
  <c r="L28" i="20"/>
  <c r="K20" i="20"/>
  <c r="L20" i="20"/>
  <c r="K131" i="19"/>
  <c r="L131" i="19"/>
  <c r="K123" i="19"/>
  <c r="L123" i="19"/>
  <c r="K115" i="19"/>
  <c r="L115" i="19"/>
  <c r="K107" i="19"/>
  <c r="L107" i="19"/>
  <c r="K99" i="19"/>
  <c r="L99" i="19"/>
  <c r="K91" i="19"/>
  <c r="L91" i="19"/>
  <c r="K79" i="19"/>
  <c r="L79" i="19"/>
  <c r="K71" i="19"/>
  <c r="L71" i="19"/>
  <c r="K63" i="19"/>
  <c r="L63" i="19"/>
  <c r="K55" i="19"/>
  <c r="L55" i="19"/>
  <c r="K43" i="19"/>
  <c r="L43" i="19"/>
  <c r="K35" i="19"/>
  <c r="L35" i="19"/>
  <c r="K27" i="19"/>
  <c r="L27" i="19"/>
  <c r="K19" i="19"/>
  <c r="L19" i="19"/>
  <c r="K115" i="17"/>
  <c r="K107" i="17"/>
  <c r="L107" i="17"/>
  <c r="K99" i="17"/>
  <c r="L99" i="17"/>
  <c r="K91" i="17"/>
  <c r="L91" i="17"/>
  <c r="K83" i="17"/>
  <c r="L83" i="17"/>
  <c r="K72" i="17"/>
  <c r="L72" i="17"/>
  <c r="K64" i="17"/>
  <c r="L64" i="17"/>
  <c r="K56" i="17"/>
  <c r="L56" i="17"/>
  <c r="K48" i="17"/>
  <c r="L48" i="17"/>
  <c r="K37" i="17"/>
  <c r="L37" i="17"/>
  <c r="K29" i="17"/>
  <c r="L29" i="17"/>
  <c r="K21" i="17"/>
  <c r="L21" i="17"/>
  <c r="K153" i="18"/>
  <c r="L153" i="18"/>
  <c r="N153" i="18"/>
  <c r="K145" i="18"/>
  <c r="L145" i="18"/>
  <c r="N145" i="18"/>
  <c r="K137" i="18"/>
  <c r="L137" i="18"/>
  <c r="N137" i="18"/>
  <c r="K129" i="18"/>
  <c r="L129" i="18"/>
  <c r="N129" i="18"/>
  <c r="K121" i="18"/>
  <c r="K110" i="18"/>
  <c r="L110" i="18"/>
  <c r="N110" i="18"/>
  <c r="K102" i="18"/>
  <c r="L102" i="18"/>
  <c r="N102" i="18"/>
  <c r="K94" i="18"/>
  <c r="L94" i="18"/>
  <c r="N94" i="18"/>
  <c r="K86" i="18"/>
  <c r="K75" i="18"/>
  <c r="L75" i="18"/>
  <c r="N75" i="18"/>
  <c r="K67" i="18"/>
  <c r="L67" i="18"/>
  <c r="N67" i="18"/>
  <c r="K59" i="18"/>
  <c r="L59" i="18"/>
  <c r="N59" i="18"/>
  <c r="K51" i="18"/>
  <c r="K43" i="18"/>
  <c r="K32" i="18"/>
  <c r="L32" i="18"/>
  <c r="N32" i="18"/>
  <c r="K24" i="18"/>
  <c r="L24" i="18"/>
  <c r="N24" i="18"/>
  <c r="L86" i="18"/>
  <c r="N86" i="18"/>
  <c r="L51" i="18"/>
  <c r="N51" i="18"/>
  <c r="L43" i="18"/>
  <c r="N43" i="18"/>
  <c r="K16" i="18"/>
  <c r="L16" i="18"/>
  <c r="N16" i="18"/>
  <c r="K228" i="24"/>
  <c r="L228" i="24"/>
  <c r="N228" i="24"/>
  <c r="K220" i="24"/>
  <c r="L220" i="24"/>
  <c r="N220" i="24"/>
  <c r="K212" i="24"/>
  <c r="L212" i="24"/>
  <c r="N212" i="24"/>
  <c r="K204" i="24"/>
  <c r="L204" i="24"/>
  <c r="N204" i="24"/>
  <c r="K196" i="24"/>
  <c r="L196" i="24"/>
  <c r="N196" i="24"/>
  <c r="K188" i="24"/>
  <c r="L188" i="24"/>
  <c r="N188" i="24"/>
  <c r="K177" i="24"/>
  <c r="L177" i="24"/>
  <c r="N177" i="24"/>
  <c r="K169" i="24"/>
  <c r="L169" i="24"/>
  <c r="N169" i="24"/>
  <c r="K161" i="24"/>
  <c r="L161" i="24"/>
  <c r="N161" i="24"/>
  <c r="K153" i="24"/>
  <c r="L153" i="24"/>
  <c r="N153" i="24"/>
  <c r="K145" i="24"/>
  <c r="L145" i="24"/>
  <c r="N145" i="24"/>
  <c r="K137" i="24"/>
  <c r="L137" i="24"/>
  <c r="N137" i="24"/>
  <c r="K129" i="24"/>
  <c r="L129" i="24"/>
  <c r="N129" i="24"/>
  <c r="B32" i="24"/>
  <c r="B40" i="24"/>
  <c r="B48" i="24"/>
  <c r="B56" i="24"/>
  <c r="K24" i="24"/>
  <c r="K32" i="24"/>
  <c r="L32" i="24"/>
  <c r="N32" i="24"/>
  <c r="K40" i="24"/>
  <c r="L40" i="24"/>
  <c r="N40" i="24"/>
  <c r="K48" i="24"/>
  <c r="L48" i="24"/>
  <c r="N48" i="24"/>
  <c r="K56" i="24"/>
  <c r="L56" i="24"/>
  <c r="N56" i="24"/>
  <c r="B64" i="24"/>
  <c r="K64" i="24"/>
  <c r="L64" i="24"/>
  <c r="N64" i="24"/>
  <c r="B75" i="24"/>
  <c r="K75" i="24"/>
  <c r="L75" i="24"/>
  <c r="N75" i="24"/>
  <c r="B83" i="24"/>
  <c r="K83" i="24"/>
  <c r="L83" i="24"/>
  <c r="N83" i="24"/>
  <c r="B91" i="24"/>
  <c r="K91" i="24"/>
  <c r="L91" i="24"/>
  <c r="N91" i="24"/>
  <c r="B102" i="24"/>
  <c r="K102" i="24"/>
  <c r="L102" i="24"/>
  <c r="N102" i="24"/>
  <c r="B110" i="24"/>
  <c r="K110" i="24"/>
  <c r="L110" i="24"/>
  <c r="N110" i="24"/>
  <c r="B118" i="24"/>
  <c r="K118" i="24"/>
  <c r="L118" i="24"/>
  <c r="N118" i="24"/>
  <c r="B129" i="24"/>
  <c r="B137" i="24"/>
  <c r="B145" i="24"/>
  <c r="B153" i="24"/>
  <c r="B161" i="24"/>
  <c r="B169" i="24"/>
  <c r="B177" i="24"/>
  <c r="B188" i="24"/>
  <c r="B196" i="24"/>
  <c r="B204" i="24"/>
  <c r="B212" i="24"/>
  <c r="B220" i="24"/>
  <c r="B228" i="24"/>
  <c r="G13" i="28"/>
  <c r="B6" i="28"/>
  <c r="B81" i="28"/>
  <c r="B82" i="28"/>
  <c r="B119" i="20"/>
  <c r="B111" i="20"/>
  <c r="B107" i="17"/>
  <c r="B99" i="17"/>
  <c r="L115" i="17"/>
  <c r="L121" i="18"/>
  <c r="N121" i="18"/>
  <c r="K2" i="28"/>
  <c r="L2" i="28"/>
  <c r="N99" i="17"/>
  <c r="N107" i="17"/>
  <c r="N111" i="20"/>
  <c r="N119" i="20"/>
  <c r="G2" i="28"/>
  <c r="N127" i="20"/>
  <c r="N103" i="20"/>
  <c r="N95" i="20"/>
  <c r="N87" i="20"/>
  <c r="N79" i="20"/>
  <c r="N71" i="20"/>
  <c r="N63" i="20"/>
  <c r="N52" i="20"/>
  <c r="N36" i="20"/>
  <c r="N28" i="20"/>
  <c r="N20" i="20"/>
  <c r="N131" i="19"/>
  <c r="N123" i="19"/>
  <c r="N115" i="19"/>
  <c r="N107" i="19"/>
  <c r="N99" i="19"/>
  <c r="N91" i="19"/>
  <c r="N79" i="19"/>
  <c r="N71" i="19"/>
  <c r="N63" i="19"/>
  <c r="N55" i="19"/>
  <c r="N43" i="19"/>
  <c r="N35" i="19"/>
  <c r="N27" i="19"/>
  <c r="N115" i="17"/>
  <c r="N91" i="17"/>
  <c r="N83" i="17"/>
  <c r="N72" i="17"/>
  <c r="N64" i="17"/>
  <c r="N56" i="17"/>
  <c r="N48" i="17"/>
  <c r="N37" i="17"/>
  <c r="N29" i="17"/>
  <c r="N21" i="17"/>
  <c r="B52" i="20"/>
  <c r="B115" i="17"/>
  <c r="B91" i="17"/>
  <c r="B44" i="28"/>
  <c r="B45" i="28"/>
  <c r="B46" i="28"/>
  <c r="B47" i="28"/>
  <c r="B48" i="28"/>
  <c r="B49" i="28"/>
  <c r="B50" i="28"/>
  <c r="B51" i="28"/>
  <c r="B52"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43" i="28"/>
  <c r="B127" i="20"/>
  <c r="B103" i="20"/>
  <c r="B95" i="20"/>
  <c r="B87" i="20"/>
  <c r="B79" i="20"/>
  <c r="B71" i="20"/>
  <c r="B63" i="20"/>
  <c r="B131" i="19"/>
  <c r="B123" i="19"/>
  <c r="B115" i="19"/>
  <c r="B107" i="19"/>
  <c r="B99" i="19"/>
  <c r="B91" i="19"/>
  <c r="B79" i="19"/>
  <c r="B71" i="19"/>
  <c r="B63" i="19"/>
  <c r="B55" i="19"/>
  <c r="B43" i="19"/>
  <c r="B35" i="19"/>
  <c r="B27" i="19"/>
  <c r="B19" i="19"/>
  <c r="B83" i="17"/>
  <c r="B72" i="17"/>
  <c r="B64" i="17"/>
  <c r="B56" i="17"/>
  <c r="B48" i="17"/>
  <c r="B37" i="17"/>
  <c r="B29" i="17"/>
  <c r="B21" i="17"/>
  <c r="B26" i="28"/>
  <c r="B27" i="28"/>
  <c r="B28" i="28"/>
  <c r="B29" i="28"/>
  <c r="B30" i="28"/>
  <c r="B31" i="28"/>
  <c r="B32" i="28"/>
  <c r="B33" i="28"/>
  <c r="B34" i="28"/>
  <c r="B35" i="28"/>
  <c r="B36" i="28"/>
  <c r="B37" i="28"/>
  <c r="B38" i="28"/>
  <c r="B39" i="28"/>
  <c r="B40" i="28"/>
  <c r="B41" i="28"/>
  <c r="B42" i="28"/>
  <c r="B153" i="18"/>
  <c r="B145" i="18"/>
  <c r="B137" i="18"/>
  <c r="B129" i="18"/>
  <c r="B121" i="18"/>
  <c r="B110" i="18"/>
  <c r="B102" i="18"/>
  <c r="B94" i="18"/>
  <c r="B86" i="18"/>
  <c r="B75" i="18"/>
  <c r="B67" i="18"/>
  <c r="B59" i="18"/>
  <c r="B51" i="18"/>
  <c r="B43" i="18"/>
  <c r="B32" i="18"/>
  <c r="B24" i="18"/>
  <c r="B16" i="18"/>
  <c r="K42" i="28"/>
  <c r="K41" i="28"/>
  <c r="K40" i="28"/>
  <c r="K39" i="28"/>
  <c r="K38" i="28"/>
  <c r="K37" i="28"/>
  <c r="K36" i="28"/>
  <c r="K35" i="28"/>
  <c r="K34" i="28"/>
  <c r="K33" i="28"/>
  <c r="K32" i="28"/>
  <c r="K31" i="28"/>
  <c r="K30" i="28"/>
  <c r="K29" i="28"/>
  <c r="K28" i="28"/>
  <c r="K27" i="28"/>
  <c r="K26" i="28"/>
  <c r="L42" i="28"/>
  <c r="L41" i="28"/>
  <c r="M41" i="28"/>
  <c r="L40" i="28"/>
  <c r="L39" i="28"/>
  <c r="L38" i="28"/>
  <c r="L37" i="28"/>
  <c r="M37" i="28"/>
  <c r="L36" i="28"/>
  <c r="L35" i="28"/>
  <c r="L34" i="28"/>
  <c r="L33" i="28"/>
  <c r="M33" i="28"/>
  <c r="L32" i="28"/>
  <c r="L31" i="28"/>
  <c r="L30" i="28"/>
  <c r="L29" i="28"/>
  <c r="M29" i="28"/>
  <c r="L28" i="28"/>
  <c r="L27" i="28"/>
  <c r="L26" i="28"/>
  <c r="L54" i="28"/>
  <c r="L53" i="28"/>
  <c r="L52" i="28"/>
  <c r="L51" i="28"/>
  <c r="L50" i="28"/>
  <c r="L49" i="28"/>
  <c r="L48" i="28"/>
  <c r="L47" i="28"/>
  <c r="L46" i="28"/>
  <c r="L45" i="28"/>
  <c r="L44" i="28"/>
  <c r="L43" i="28"/>
  <c r="K54" i="28"/>
  <c r="M54" i="28"/>
  <c r="K53" i="28"/>
  <c r="K52" i="28"/>
  <c r="M52" i="28"/>
  <c r="K51" i="28"/>
  <c r="M51" i="28"/>
  <c r="K50" i="28"/>
  <c r="K49" i="28"/>
  <c r="K48" i="28"/>
  <c r="K47" i="28"/>
  <c r="K46" i="28"/>
  <c r="K45" i="28"/>
  <c r="K44" i="28"/>
  <c r="M44" i="28"/>
  <c r="K43" i="28"/>
  <c r="C54" i="28"/>
  <c r="E54" i="28"/>
  <c r="F54" i="28"/>
  <c r="G54" i="28"/>
  <c r="C53" i="28"/>
  <c r="E53" i="28"/>
  <c r="F53" i="28"/>
  <c r="G53" i="28"/>
  <c r="L68" i="28"/>
  <c r="L67" i="28"/>
  <c r="L66" i="28"/>
  <c r="L65" i="28"/>
  <c r="L64" i="28"/>
  <c r="L63" i="28"/>
  <c r="L62" i="28"/>
  <c r="L61" i="28"/>
  <c r="L60" i="28"/>
  <c r="L59" i="28"/>
  <c r="L58" i="28"/>
  <c r="L57" i="28"/>
  <c r="L56" i="28"/>
  <c r="L55" i="28"/>
  <c r="K68" i="28"/>
  <c r="K67" i="28"/>
  <c r="K66" i="28"/>
  <c r="K65" i="28"/>
  <c r="K64" i="28"/>
  <c r="K63" i="28"/>
  <c r="K62" i="28"/>
  <c r="K61" i="28"/>
  <c r="K60" i="28"/>
  <c r="K59" i="28"/>
  <c r="K58" i="28"/>
  <c r="K57" i="28"/>
  <c r="K56" i="28"/>
  <c r="K55" i="28"/>
  <c r="L82" i="28"/>
  <c r="L81" i="28"/>
  <c r="L80" i="28"/>
  <c r="L79" i="28"/>
  <c r="L78" i="28"/>
  <c r="L77" i="28"/>
  <c r="L76" i="28"/>
  <c r="L75" i="28"/>
  <c r="L74" i="28"/>
  <c r="L73" i="28"/>
  <c r="L72" i="28"/>
  <c r="L71" i="28"/>
  <c r="L70" i="28"/>
  <c r="L69" i="28"/>
  <c r="K82" i="28"/>
  <c r="K81" i="28"/>
  <c r="K80" i="28"/>
  <c r="K79" i="28"/>
  <c r="K78" i="28"/>
  <c r="K77" i="28"/>
  <c r="K76" i="28"/>
  <c r="K75" i="28"/>
  <c r="K74" i="28"/>
  <c r="K73" i="28"/>
  <c r="K72" i="28"/>
  <c r="K71" i="28"/>
  <c r="K70" i="28"/>
  <c r="K69" i="28"/>
  <c r="G33" i="28"/>
  <c r="G41" i="28"/>
  <c r="F30" i="28"/>
  <c r="F38" i="28"/>
  <c r="G35" i="28"/>
  <c r="F32" i="28"/>
  <c r="G29" i="28"/>
  <c r="F26" i="28"/>
  <c r="G32" i="28"/>
  <c r="F37" i="28"/>
  <c r="G34" i="28"/>
  <c r="G42" i="28"/>
  <c r="F31" i="28"/>
  <c r="F39" i="28"/>
  <c r="F40" i="28"/>
  <c r="F42" i="28"/>
  <c r="F28" i="28"/>
  <c r="F29" i="28"/>
  <c r="G27" i="28"/>
  <c r="G28" i="28"/>
  <c r="G36" i="28"/>
  <c r="F33" i="28"/>
  <c r="F41" i="28"/>
  <c r="G37" i="28"/>
  <c r="F34" i="28"/>
  <c r="G31" i="28"/>
  <c r="F36" i="28"/>
  <c r="G30" i="28"/>
  <c r="G38" i="28"/>
  <c r="F27" i="28"/>
  <c r="F35" i="28"/>
  <c r="G39" i="28"/>
  <c r="G40" i="28"/>
  <c r="G82" i="28"/>
  <c r="G74" i="28"/>
  <c r="F71" i="28"/>
  <c r="F79" i="28"/>
  <c r="F81" i="28"/>
  <c r="F69" i="28"/>
  <c r="G75" i="28"/>
  <c r="G81" i="28"/>
  <c r="G73" i="28"/>
  <c r="F72" i="28"/>
  <c r="F80" i="28"/>
  <c r="F73" i="28"/>
  <c r="F75" i="28"/>
  <c r="F77" i="28"/>
  <c r="F78" i="28"/>
  <c r="G80" i="28"/>
  <c r="G79" i="28"/>
  <c r="G70" i="28"/>
  <c r="F74" i="28"/>
  <c r="F82" i="28"/>
  <c r="G78" i="28"/>
  <c r="G69" i="28"/>
  <c r="G76" i="28"/>
  <c r="F70" i="28"/>
  <c r="G77" i="28"/>
  <c r="G71" i="28"/>
  <c r="F76" i="28"/>
  <c r="E81" i="28"/>
  <c r="C79" i="28"/>
  <c r="E82" i="28"/>
  <c r="C80" i="28"/>
  <c r="C81" i="28"/>
  <c r="C82" i="28"/>
  <c r="C75" i="28"/>
  <c r="C76" i="28"/>
  <c r="C77" i="28"/>
  <c r="C78" i="28"/>
  <c r="C51" i="28"/>
  <c r="G44" i="28"/>
  <c r="G52" i="28"/>
  <c r="F49" i="28"/>
  <c r="F43" i="28"/>
  <c r="G45" i="28"/>
  <c r="G43" i="28"/>
  <c r="F50" i="28"/>
  <c r="F51" i="28"/>
  <c r="F45" i="28"/>
  <c r="G50" i="28"/>
  <c r="G51" i="28"/>
  <c r="G46" i="28"/>
  <c r="G47" i="28"/>
  <c r="F44" i="28"/>
  <c r="F52" i="28"/>
  <c r="G48" i="28"/>
  <c r="F48" i="28"/>
  <c r="G49" i="28"/>
  <c r="F46" i="28"/>
  <c r="F47" i="28"/>
  <c r="G62" i="28"/>
  <c r="F59" i="28"/>
  <c r="F67" i="28"/>
  <c r="F55" i="28"/>
  <c r="G68" i="28"/>
  <c r="F65" i="28"/>
  <c r="F58" i="28"/>
  <c r="G63" i="28"/>
  <c r="F60" i="28"/>
  <c r="F68" i="28"/>
  <c r="F61" i="28"/>
  <c r="G56" i="28"/>
  <c r="G64" i="28"/>
  <c r="G57" i="28"/>
  <c r="G65" i="28"/>
  <c r="F62" i="28"/>
  <c r="G58" i="28"/>
  <c r="G66" i="28"/>
  <c r="F63" i="28"/>
  <c r="F57" i="28"/>
  <c r="G59" i="28"/>
  <c r="G67" i="28"/>
  <c r="F56" i="28"/>
  <c r="F64" i="28"/>
  <c r="G60" i="28"/>
  <c r="G61" i="28"/>
  <c r="F66" i="28"/>
  <c r="C74" i="28"/>
  <c r="C34" i="28"/>
  <c r="C30" i="28"/>
  <c r="E29" i="28"/>
  <c r="E33" i="28"/>
  <c r="E37" i="28"/>
  <c r="E41" i="28"/>
  <c r="E30" i="28"/>
  <c r="E34" i="28"/>
  <c r="E38" i="28"/>
  <c r="E42" i="28"/>
  <c r="E27" i="28"/>
  <c r="E31" i="28"/>
  <c r="E35" i="28"/>
  <c r="E39" i="28"/>
  <c r="E26" i="28"/>
  <c r="E28" i="28"/>
  <c r="E32" i="28"/>
  <c r="E36" i="28"/>
  <c r="E40" i="28"/>
  <c r="E72" i="28"/>
  <c r="E76" i="28"/>
  <c r="E80" i="28"/>
  <c r="E73" i="28"/>
  <c r="E77" i="28"/>
  <c r="E69" i="28"/>
  <c r="C70" i="28"/>
  <c r="C69" i="28"/>
  <c r="C73" i="28"/>
  <c r="E70" i="28"/>
  <c r="E74" i="28"/>
  <c r="E78" i="28"/>
  <c r="C71" i="28"/>
  <c r="E71" i="28"/>
  <c r="E75" i="28"/>
  <c r="E79" i="28"/>
  <c r="C72" i="28"/>
  <c r="C41" i="28"/>
  <c r="C37" i="28"/>
  <c r="C33" i="28"/>
  <c r="C29" i="28"/>
  <c r="C50" i="28"/>
  <c r="C46" i="28"/>
  <c r="C42" i="28"/>
  <c r="C38" i="28"/>
  <c r="C43" i="28"/>
  <c r="C47" i="28"/>
  <c r="C40" i="28"/>
  <c r="C36" i="28"/>
  <c r="C32" i="28"/>
  <c r="C28" i="28"/>
  <c r="C49" i="28"/>
  <c r="C45" i="28"/>
  <c r="E44" i="28"/>
  <c r="E48" i="28"/>
  <c r="E52" i="28"/>
  <c r="E45" i="28"/>
  <c r="E49" i="28"/>
  <c r="E43" i="28"/>
  <c r="E46" i="28"/>
  <c r="E50" i="28"/>
  <c r="E47" i="28"/>
  <c r="E51" i="28"/>
  <c r="E58" i="28"/>
  <c r="E62" i="28"/>
  <c r="E66" i="28"/>
  <c r="E59" i="28"/>
  <c r="E63" i="28"/>
  <c r="E67" i="28"/>
  <c r="C59" i="28"/>
  <c r="C63" i="28"/>
  <c r="C62" i="28"/>
  <c r="E56" i="28"/>
  <c r="E60" i="28"/>
  <c r="E64" i="28"/>
  <c r="E68" i="28"/>
  <c r="C56" i="28"/>
  <c r="C60" i="28"/>
  <c r="C64" i="28"/>
  <c r="E57" i="28"/>
  <c r="E61" i="28"/>
  <c r="E65" i="28"/>
  <c r="E55" i="28"/>
  <c r="C57" i="28"/>
  <c r="C61" i="28"/>
  <c r="C65" i="28"/>
  <c r="C58" i="28"/>
  <c r="C55" i="28"/>
  <c r="C26" i="28"/>
  <c r="C39" i="28"/>
  <c r="C35" i="28"/>
  <c r="C31" i="28"/>
  <c r="C27" i="28"/>
  <c r="C48" i="28"/>
  <c r="C44" i="28"/>
  <c r="C52" i="28"/>
  <c r="C68" i="28"/>
  <c r="C67" i="28"/>
  <c r="C66" i="28"/>
  <c r="B3" i="28"/>
  <c r="B4" i="28"/>
  <c r="B5" i="28"/>
  <c r="B7" i="28"/>
  <c r="B8" i="28"/>
  <c r="B9" i="28"/>
  <c r="B10" i="28"/>
  <c r="B11" i="28"/>
  <c r="B12" i="28"/>
  <c r="B13" i="28"/>
  <c r="B14" i="28"/>
  <c r="B15" i="28"/>
  <c r="B16" i="28"/>
  <c r="B17" i="28"/>
  <c r="B18" i="28"/>
  <c r="B20" i="28"/>
  <c r="B21" i="28"/>
  <c r="B22" i="28"/>
  <c r="B23" i="28"/>
  <c r="B24" i="28"/>
  <c r="B25" i="28"/>
  <c r="B2" i="28"/>
  <c r="M46" i="28"/>
  <c r="L19" i="28"/>
  <c r="L10" i="28"/>
  <c r="K20" i="28"/>
  <c r="F19" i="28"/>
  <c r="L13" i="28"/>
  <c r="K4" i="28"/>
  <c r="K5" i="28"/>
  <c r="L20" i="28"/>
  <c r="E19" i="28"/>
  <c r="L21" i="28"/>
  <c r="C19" i="28"/>
  <c r="K7" i="28"/>
  <c r="K15" i="28"/>
  <c r="K23" i="28"/>
  <c r="L6" i="28"/>
  <c r="L14" i="28"/>
  <c r="L22" i="28"/>
  <c r="L3" i="28"/>
  <c r="K13" i="28"/>
  <c r="L4" i="28"/>
  <c r="K6" i="28"/>
  <c r="L5" i="28"/>
  <c r="K8" i="28"/>
  <c r="K16" i="28"/>
  <c r="K24" i="28"/>
  <c r="L7" i="28"/>
  <c r="L15" i="28"/>
  <c r="L23" i="28"/>
  <c r="K11" i="28"/>
  <c r="K12" i="28"/>
  <c r="K21" i="28"/>
  <c r="K22" i="28"/>
  <c r="K9" i="28"/>
  <c r="K17" i="28"/>
  <c r="K25" i="28"/>
  <c r="L8" i="28"/>
  <c r="L16" i="28"/>
  <c r="L24" i="28"/>
  <c r="K19" i="28"/>
  <c r="G19" i="28"/>
  <c r="L11" i="28"/>
  <c r="M11" i="28"/>
  <c r="L12" i="28"/>
  <c r="M12" i="28"/>
  <c r="K14" i="28"/>
  <c r="K3" i="28"/>
  <c r="K10" i="28"/>
  <c r="K18" i="28"/>
  <c r="L9" i="28"/>
  <c r="L17" i="28"/>
  <c r="L25" i="28"/>
  <c r="L18" i="28"/>
  <c r="M18" i="28"/>
  <c r="E6" i="28"/>
  <c r="C6" i="28"/>
  <c r="F6" i="28"/>
  <c r="G6" i="28"/>
  <c r="G10" i="28"/>
  <c r="G23" i="28"/>
  <c r="F7" i="28"/>
  <c r="F20" i="28"/>
  <c r="G25" i="28"/>
  <c r="G11" i="28"/>
  <c r="G24" i="28"/>
  <c r="F8" i="28"/>
  <c r="F21" i="28"/>
  <c r="G15" i="28"/>
  <c r="F4" i="28"/>
  <c r="F15" i="28"/>
  <c r="G3" i="28"/>
  <c r="F9" i="28"/>
  <c r="F22" i="28"/>
  <c r="F11" i="28"/>
  <c r="G8" i="28"/>
  <c r="G4" i="28"/>
  <c r="G14" i="28"/>
  <c r="F10" i="28"/>
  <c r="F23" i="28"/>
  <c r="F24" i="28"/>
  <c r="G9" i="28"/>
  <c r="G5" i="28"/>
  <c r="G21" i="28"/>
  <c r="G22" i="28"/>
  <c r="G7" i="28"/>
  <c r="G20" i="28"/>
  <c r="F3" i="28"/>
  <c r="F13" i="28"/>
  <c r="F25" i="28"/>
  <c r="F14" i="28"/>
  <c r="F5" i="28"/>
  <c r="F12" i="28"/>
  <c r="F17" i="28"/>
  <c r="F2" i="28"/>
  <c r="F16" i="28"/>
  <c r="F18" i="28"/>
  <c r="G18" i="28"/>
  <c r="G16" i="28"/>
  <c r="G12" i="28"/>
  <c r="G17" i="28"/>
  <c r="C21" i="28"/>
  <c r="C16" i="28"/>
  <c r="C12" i="28"/>
  <c r="C8" i="28"/>
  <c r="C3" i="28"/>
  <c r="C24" i="28"/>
  <c r="C20" i="28"/>
  <c r="C15" i="28"/>
  <c r="C11" i="28"/>
  <c r="C7" i="28"/>
  <c r="C2" i="28"/>
  <c r="C23" i="28"/>
  <c r="C18" i="28"/>
  <c r="C14" i="28"/>
  <c r="C10" i="28"/>
  <c r="C5" i="28"/>
  <c r="C25" i="28"/>
  <c r="C22" i="28"/>
  <c r="C17" i="28"/>
  <c r="C13" i="28"/>
  <c r="C9" i="28"/>
  <c r="C4" i="28"/>
  <c r="E3" i="28"/>
  <c r="E8" i="28"/>
  <c r="E12" i="28"/>
  <c r="E16" i="28"/>
  <c r="E21" i="28"/>
  <c r="E25" i="28"/>
  <c r="E4" i="28"/>
  <c r="E9" i="28"/>
  <c r="E13" i="28"/>
  <c r="E17" i="28"/>
  <c r="E22" i="28"/>
  <c r="E2" i="28"/>
  <c r="E5" i="28"/>
  <c r="E10" i="28"/>
  <c r="E14" i="28"/>
  <c r="E18" i="28"/>
  <c r="E23" i="28"/>
  <c r="E7" i="28"/>
  <c r="E11" i="28"/>
  <c r="E15" i="28"/>
  <c r="E20" i="28"/>
  <c r="E24" i="28"/>
  <c r="N19" i="19"/>
  <c r="G55" i="28"/>
  <c r="G26" i="28"/>
  <c r="M72" i="28"/>
  <c r="M74" i="28"/>
  <c r="M78" i="28"/>
  <c r="M71" i="28"/>
  <c r="M75" i="28"/>
  <c r="M79" i="28"/>
  <c r="I80" i="28"/>
  <c r="M69" i="28"/>
  <c r="M73" i="28"/>
  <c r="M81" i="28"/>
  <c r="M76" i="28"/>
  <c r="M80" i="28"/>
  <c r="M70" i="28"/>
  <c r="M82" i="28"/>
  <c r="M77" i="28"/>
  <c r="M62" i="28"/>
  <c r="M57" i="28"/>
  <c r="M61" i="28"/>
  <c r="M65" i="28"/>
  <c r="M63" i="28"/>
  <c r="M67" i="28"/>
  <c r="M58" i="28"/>
  <c r="M66" i="28"/>
  <c r="M60" i="28"/>
  <c r="M64" i="28"/>
  <c r="M68" i="28"/>
  <c r="M55" i="28"/>
  <c r="M59" i="28"/>
  <c r="M56" i="28"/>
  <c r="M48" i="28"/>
  <c r="M53" i="28"/>
  <c r="M49" i="28"/>
  <c r="M50" i="28"/>
  <c r="M43" i="28"/>
  <c r="M47" i="28"/>
  <c r="M45" i="28"/>
  <c r="M26" i="28"/>
  <c r="M30" i="28"/>
  <c r="M34" i="28"/>
  <c r="M38" i="28"/>
  <c r="M42" i="28"/>
  <c r="M27" i="28"/>
  <c r="M28" i="28"/>
  <c r="M32" i="28"/>
  <c r="M36" i="28"/>
  <c r="M40" i="28"/>
  <c r="M31" i="28"/>
  <c r="M35" i="28"/>
  <c r="M39" i="28"/>
  <c r="M19" i="28"/>
  <c r="M24" i="28"/>
  <c r="M10" i="28"/>
  <c r="M8" i="28"/>
  <c r="M20" i="28"/>
  <c r="I16" i="28"/>
  <c r="M17" i="28"/>
  <c r="M23" i="28"/>
  <c r="M4" i="28"/>
  <c r="M14" i="28"/>
  <c r="I72" i="28"/>
  <c r="M9" i="28"/>
  <c r="M15" i="28"/>
  <c r="I76" i="28"/>
  <c r="I21" i="28"/>
  <c r="I82" i="28"/>
  <c r="I58" i="28"/>
  <c r="I39" i="28"/>
  <c r="I81" i="28"/>
  <c r="I65" i="28"/>
  <c r="I50" i="28"/>
  <c r="M13" i="28"/>
  <c r="M2" i="28"/>
  <c r="I37" i="28"/>
  <c r="I44" i="28"/>
  <c r="I75" i="28"/>
  <c r="I70" i="28"/>
  <c r="I55" i="28"/>
  <c r="I45" i="28"/>
  <c r="I35" i="28"/>
  <c r="I2" i="28"/>
  <c r="I53" i="28"/>
  <c r="I11" i="28"/>
  <c r="I38" i="28"/>
  <c r="I17" i="28"/>
  <c r="I7" i="28"/>
  <c r="M3" i="28"/>
  <c r="M16" i="28"/>
  <c r="I66" i="28"/>
  <c r="I63" i="28"/>
  <c r="I49" i="28"/>
  <c r="I52" i="28"/>
  <c r="I43" i="28"/>
  <c r="I30" i="28"/>
  <c r="I54" i="28"/>
  <c r="I25" i="28"/>
  <c r="I4" i="28"/>
  <c r="I62" i="28"/>
  <c r="I57" i="28"/>
  <c r="I27" i="28"/>
  <c r="I79" i="28"/>
  <c r="I59" i="28"/>
  <c r="I34" i="28"/>
  <c r="I77" i="28"/>
  <c r="I18" i="28"/>
  <c r="I12" i="28"/>
  <c r="I13" i="28"/>
  <c r="I24" i="28"/>
  <c r="I9" i="28"/>
  <c r="I6" i="28"/>
  <c r="I23" i="28"/>
  <c r="M5" i="28"/>
  <c r="I22" i="28"/>
  <c r="M25" i="28"/>
  <c r="H17" i="28"/>
  <c r="I15" i="28"/>
  <c r="I20" i="28"/>
  <c r="M6" i="28"/>
  <c r="M7" i="28"/>
  <c r="M21" i="28"/>
  <c r="M22" i="28"/>
  <c r="I61" i="28"/>
  <c r="I78" i="28"/>
  <c r="I69" i="28"/>
  <c r="I68" i="28"/>
  <c r="I64" i="28"/>
  <c r="I32" i="28"/>
  <c r="I73" i="28"/>
  <c r="I42" i="28"/>
  <c r="I31" i="28"/>
  <c r="I48" i="28"/>
  <c r="I41" i="28"/>
  <c r="H22" i="28"/>
  <c r="H19" i="28"/>
  <c r="H13" i="28"/>
  <c r="H3" i="28"/>
  <c r="H26" i="28"/>
  <c r="H70" i="28"/>
  <c r="H44" i="28"/>
  <c r="H31" i="28"/>
  <c r="H78" i="28"/>
  <c r="H7" i="28"/>
  <c r="H24" i="28"/>
  <c r="H47" i="28"/>
  <c r="H50" i="28"/>
  <c r="H66" i="28"/>
  <c r="H64" i="28"/>
  <c r="H10" i="28"/>
  <c r="H8" i="28"/>
  <c r="H52" i="28"/>
  <c r="H28" i="28"/>
  <c r="H18" i="28"/>
  <c r="H36" i="28"/>
  <c r="H37" i="28"/>
  <c r="H51" i="28"/>
  <c r="H34" i="28"/>
  <c r="H55" i="28"/>
  <c r="H56" i="28"/>
  <c r="H49" i="28"/>
  <c r="H81" i="28"/>
  <c r="H33" i="28"/>
  <c r="H54" i="28"/>
  <c r="H25" i="28"/>
  <c r="H9" i="28"/>
  <c r="H42" i="28"/>
  <c r="H46" i="28"/>
  <c r="H14" i="28"/>
  <c r="H77" i="28"/>
  <c r="H15" i="28"/>
  <c r="H82" i="28"/>
  <c r="H16" i="28"/>
  <c r="H27" i="28"/>
  <c r="H2" i="28"/>
  <c r="H74" i="28"/>
  <c r="H4" i="28"/>
  <c r="H79" i="28"/>
  <c r="H75" i="28"/>
  <c r="H80" i="28"/>
  <c r="H45" i="28"/>
  <c r="H21" i="28"/>
  <c r="H35" i="28"/>
  <c r="H48" i="28"/>
  <c r="H68" i="28"/>
  <c r="H57" i="28"/>
  <c r="H12" i="28"/>
  <c r="H72" i="28"/>
  <c r="H65" i="28"/>
  <c r="H67" i="28"/>
  <c r="H29" i="28"/>
  <c r="H32" i="28"/>
  <c r="H30" i="28"/>
  <c r="I19" i="28"/>
  <c r="I56" i="28"/>
  <c r="I28" i="28"/>
  <c r="I51" i="28"/>
  <c r="I60" i="28"/>
  <c r="I26" i="28"/>
  <c r="I67" i="28"/>
  <c r="I33" i="28"/>
  <c r="I46" i="28"/>
  <c r="I29" i="28"/>
  <c r="I74" i="28"/>
  <c r="I40" i="28"/>
  <c r="I47" i="28"/>
  <c r="I71" i="28"/>
  <c r="I36" i="28"/>
  <c r="I3" i="28"/>
  <c r="I5" i="28"/>
  <c r="I14" i="28"/>
  <c r="H20" i="28"/>
  <c r="H5" i="28"/>
  <c r="I10" i="28"/>
  <c r="H6" i="28"/>
  <c r="H53" i="28"/>
  <c r="H73" i="28"/>
  <c r="H39" i="28"/>
  <c r="H69" i="28"/>
  <c r="H43" i="28"/>
  <c r="H11" i="28"/>
  <c r="H63" i="28"/>
  <c r="H61" i="28"/>
  <c r="H41" i="28"/>
  <c r="H76" i="28"/>
  <c r="H40" i="28"/>
  <c r="H62" i="28"/>
  <c r="H60" i="28"/>
  <c r="H23" i="28"/>
  <c r="H59" i="28"/>
  <c r="H38" i="28"/>
  <c r="H71" i="28"/>
  <c r="H58" i="28"/>
  <c r="I8" i="28"/>
  <c r="N77" i="28"/>
  <c r="N82" i="28"/>
  <c r="N76" i="28"/>
  <c r="N80" i="28"/>
  <c r="N70" i="28"/>
  <c r="N74" i="28"/>
  <c r="N73" i="28"/>
  <c r="N75" i="28"/>
  <c r="N69" i="28"/>
  <c r="N78" i="28"/>
  <c r="N79" i="28"/>
  <c r="N71" i="28"/>
  <c r="N72" i="28"/>
  <c r="N81" i="28"/>
  <c r="N67" i="28"/>
  <c r="N58" i="28"/>
  <c r="N60" i="28"/>
  <c r="N68" i="28"/>
  <c r="N55" i="28"/>
  <c r="G31" i="26"/>
  <c r="O31" i="26"/>
  <c r="N59" i="28"/>
  <c r="N62" i="28"/>
  <c r="N65" i="28"/>
  <c r="N57" i="28"/>
  <c r="N64" i="28"/>
  <c r="N56" i="28"/>
  <c r="N61" i="28"/>
  <c r="N66" i="28"/>
  <c r="N63" i="28"/>
  <c r="N47" i="28"/>
  <c r="N51" i="28"/>
  <c r="N45" i="28"/>
  <c r="N43" i="28"/>
  <c r="E29" i="26"/>
  <c r="N44" i="28"/>
  <c r="N49" i="28"/>
  <c r="N48" i="28"/>
  <c r="N50" i="28"/>
  <c r="N46" i="28"/>
  <c r="N52" i="28"/>
  <c r="N54" i="28"/>
  <c r="N53" i="28"/>
  <c r="N29" i="28"/>
  <c r="N28" i="28"/>
  <c r="N37" i="28"/>
  <c r="N36" i="28"/>
  <c r="N34" i="28"/>
  <c r="N38" i="28"/>
  <c r="N42" i="28"/>
  <c r="N30" i="28"/>
  <c r="N33" i="28"/>
  <c r="N39" i="28"/>
  <c r="N41" i="28"/>
  <c r="N31" i="28"/>
  <c r="N32" i="28"/>
  <c r="N40" i="28"/>
  <c r="N27" i="28"/>
  <c r="N35" i="28"/>
  <c r="N26" i="28"/>
  <c r="E27" i="26"/>
  <c r="N4" i="28"/>
  <c r="N7" i="28"/>
  <c r="N10" i="28"/>
  <c r="N5" i="28"/>
  <c r="N9" i="28"/>
  <c r="N2" i="28"/>
  <c r="E25" i="26"/>
  <c r="N13" i="28"/>
  <c r="N21" i="28"/>
  <c r="N20" i="28"/>
  <c r="N12" i="28"/>
  <c r="N15" i="28"/>
  <c r="N19" i="28"/>
  <c r="N8" i="28"/>
  <c r="N25" i="28"/>
  <c r="N23" i="28"/>
  <c r="N16" i="28"/>
  <c r="N22" i="28"/>
  <c r="N24" i="28"/>
  <c r="N18" i="28"/>
  <c r="N17" i="28"/>
  <c r="N11" i="28"/>
  <c r="N6" i="28"/>
  <c r="N3" i="28"/>
  <c r="N14" i="28"/>
  <c r="C163" i="29"/>
  <c r="C131" i="29"/>
  <c r="C99" i="29"/>
  <c r="C75" i="29"/>
  <c r="C59" i="29"/>
  <c r="C43" i="29"/>
  <c r="C27" i="29"/>
  <c r="C89" i="29"/>
  <c r="C146" i="29"/>
  <c r="C114" i="29"/>
  <c r="C82" i="29"/>
  <c r="C66" i="29"/>
  <c r="C50" i="29"/>
  <c r="C34" i="29"/>
  <c r="C18" i="29"/>
  <c r="C65" i="29"/>
  <c r="C161" i="29"/>
  <c r="C97" i="29"/>
  <c r="C135" i="29"/>
  <c r="C103" i="29"/>
  <c r="C150" i="29"/>
  <c r="C118" i="29"/>
  <c r="C139" i="29"/>
  <c r="C91" i="29"/>
  <c r="C67" i="29"/>
  <c r="C162" i="29"/>
  <c r="C122" i="29"/>
  <c r="C58" i="29"/>
  <c r="C25" i="29"/>
  <c r="C129" i="29"/>
  <c r="C159" i="29"/>
  <c r="C119" i="29"/>
  <c r="C87" i="29"/>
  <c r="C63" i="29"/>
  <c r="C23" i="29"/>
  <c r="C142" i="29"/>
  <c r="C102" i="29"/>
  <c r="C78" i="29"/>
  <c r="C54" i="29"/>
  <c r="C81" i="29"/>
  <c r="C157" i="29"/>
  <c r="C125" i="29"/>
  <c r="C93" i="29"/>
  <c r="C77" i="29"/>
  <c r="C61" i="29"/>
  <c r="C73" i="29"/>
  <c r="C164" i="29"/>
  <c r="C132" i="29"/>
  <c r="C100" i="29"/>
  <c r="C28" i="29"/>
  <c r="C113" i="29"/>
  <c r="C40" i="29"/>
  <c r="C32" i="29"/>
  <c r="C72" i="29"/>
  <c r="C120" i="29"/>
  <c r="C123" i="29"/>
  <c r="C83" i="29"/>
  <c r="C19" i="29"/>
  <c r="C154" i="29"/>
  <c r="C106" i="29"/>
  <c r="C74" i="29"/>
  <c r="C137" i="29"/>
  <c r="C57" i="29"/>
  <c r="C151" i="29"/>
  <c r="C111" i="29"/>
  <c r="C79" i="29"/>
  <c r="C39" i="29"/>
  <c r="C15" i="29"/>
  <c r="C134" i="29"/>
  <c r="C94" i="29"/>
  <c r="C70" i="29"/>
  <c r="C30" i="29"/>
  <c r="C149" i="29"/>
  <c r="C117" i="29"/>
  <c r="C53" i="29"/>
  <c r="C37" i="29"/>
  <c r="C21" i="29"/>
  <c r="C156" i="29"/>
  <c r="C124" i="29"/>
  <c r="C92" i="29"/>
  <c r="C76" i="29"/>
  <c r="C60" i="29"/>
  <c r="C44" i="29"/>
  <c r="C41" i="29"/>
  <c r="C16" i="29"/>
  <c r="C88" i="29"/>
  <c r="C48" i="29"/>
  <c r="C128" i="29"/>
  <c r="C115" i="29"/>
  <c r="C98" i="29"/>
  <c r="C105" i="29"/>
  <c r="C95" i="29"/>
  <c r="C55" i="29"/>
  <c r="C86" i="29"/>
  <c r="C46" i="29"/>
  <c r="C33" i="29"/>
  <c r="C109" i="29"/>
  <c r="C69" i="29"/>
  <c r="C49" i="29"/>
  <c r="C116" i="29"/>
  <c r="C36" i="29"/>
  <c r="C144" i="29"/>
  <c r="C107" i="29"/>
  <c r="C51" i="29"/>
  <c r="C90" i="29"/>
  <c r="C42" i="29"/>
  <c r="C17" i="29"/>
  <c r="C47" i="29"/>
  <c r="C158" i="29"/>
  <c r="C38" i="29"/>
  <c r="C101" i="29"/>
  <c r="C29" i="29"/>
  <c r="C108" i="29"/>
  <c r="C68" i="29"/>
  <c r="C104" i="29"/>
  <c r="C80" i="29"/>
  <c r="C136" i="29"/>
  <c r="C24" i="29"/>
  <c r="C138" i="29"/>
  <c r="C26" i="29"/>
  <c r="C143" i="29"/>
  <c r="C31" i="29"/>
  <c r="C141" i="29"/>
  <c r="C148" i="29"/>
  <c r="C160" i="29"/>
  <c r="C64" i="29"/>
  <c r="C130" i="29"/>
  <c r="C127" i="29"/>
  <c r="C62" i="29"/>
  <c r="C133" i="29"/>
  <c r="C45" i="29"/>
  <c r="C140" i="29"/>
  <c r="C52" i="29"/>
  <c r="C96" i="29"/>
  <c r="C155" i="29"/>
  <c r="C22" i="29"/>
  <c r="C20" i="29"/>
  <c r="C112" i="29"/>
  <c r="C147" i="29"/>
  <c r="C71" i="29"/>
  <c r="C121" i="29"/>
  <c r="C152" i="29"/>
  <c r="C153" i="29"/>
  <c r="C85" i="29"/>
  <c r="C35" i="29"/>
  <c r="C126" i="29"/>
  <c r="C110" i="29"/>
  <c r="C145" i="29"/>
  <c r="C84" i="29"/>
  <c r="C56" i="29"/>
  <c r="G33" i="26"/>
  <c r="O33" i="26"/>
  <c r="E33" i="26"/>
  <c r="E31" i="26"/>
  <c r="G29" i="26"/>
  <c r="O29" i="26"/>
  <c r="G27" i="26"/>
  <c r="O27" i="26"/>
  <c r="G25" i="26"/>
  <c r="O25" i="26"/>
  <c r="F147" i="29"/>
  <c r="E147" i="29"/>
  <c r="D147" i="29"/>
  <c r="B147" i="29"/>
  <c r="H147" i="29"/>
  <c r="G147" i="29"/>
  <c r="D130" i="29"/>
  <c r="B130" i="29"/>
  <c r="G130" i="29"/>
  <c r="F130" i="29"/>
  <c r="H130" i="29"/>
  <c r="E130" i="29"/>
  <c r="D104" i="29"/>
  <c r="B104" i="29"/>
  <c r="H104" i="29"/>
  <c r="G104" i="29"/>
  <c r="F104" i="29"/>
  <c r="E104" i="29"/>
  <c r="K17" i="29"/>
  <c r="F17" i="29"/>
  <c r="E17" i="29"/>
  <c r="H17" i="29"/>
  <c r="D17" i="29"/>
  <c r="B17" i="29"/>
  <c r="G17" i="29"/>
  <c r="K49" i="29"/>
  <c r="F49" i="29"/>
  <c r="D49" i="29"/>
  <c r="B49" i="29"/>
  <c r="E49" i="29"/>
  <c r="H49" i="29"/>
  <c r="G49" i="29"/>
  <c r="K48" i="29"/>
  <c r="D48" i="29"/>
  <c r="B48" i="29"/>
  <c r="F48" i="29"/>
  <c r="E48" i="29"/>
  <c r="H48" i="29"/>
  <c r="G48" i="29"/>
  <c r="D53" i="29"/>
  <c r="B53" i="29"/>
  <c r="K53" i="29"/>
  <c r="F53" i="29"/>
  <c r="E53" i="29"/>
  <c r="H53" i="29"/>
  <c r="G53" i="29"/>
  <c r="E154" i="29"/>
  <c r="F154" i="29"/>
  <c r="D154" i="29"/>
  <c r="B154" i="29"/>
  <c r="G154" i="29"/>
  <c r="H154" i="29"/>
  <c r="E164" i="29"/>
  <c r="D164" i="29"/>
  <c r="B164" i="29"/>
  <c r="G164" i="29"/>
  <c r="F164" i="29"/>
  <c r="H164" i="29"/>
  <c r="K54" i="29"/>
  <c r="E54" i="29"/>
  <c r="D54" i="29"/>
  <c r="B54" i="29"/>
  <c r="F54" i="29"/>
  <c r="H54" i="29"/>
  <c r="G54" i="29"/>
  <c r="K23" i="29"/>
  <c r="F23" i="29"/>
  <c r="E23" i="29"/>
  <c r="H23" i="29"/>
  <c r="G23" i="29"/>
  <c r="D23" i="29"/>
  <c r="B23" i="29"/>
  <c r="K56" i="29"/>
  <c r="F56" i="29"/>
  <c r="E56" i="29"/>
  <c r="D56" i="29"/>
  <c r="B56" i="29"/>
  <c r="G56" i="29"/>
  <c r="H56" i="29"/>
  <c r="E152" i="29"/>
  <c r="D152" i="29"/>
  <c r="B152" i="29"/>
  <c r="H152" i="29"/>
  <c r="F152" i="29"/>
  <c r="G152" i="29"/>
  <c r="D96" i="29"/>
  <c r="B96" i="29"/>
  <c r="F96" i="29"/>
  <c r="E96" i="29"/>
  <c r="H96" i="29"/>
  <c r="G96" i="29"/>
  <c r="F133" i="29"/>
  <c r="G133" i="29"/>
  <c r="D133" i="29"/>
  <c r="B133" i="29"/>
  <c r="H133" i="29"/>
  <c r="E133" i="29"/>
  <c r="F64" i="29"/>
  <c r="E64" i="29"/>
  <c r="D64" i="29"/>
  <c r="B64" i="29"/>
  <c r="K64" i="29"/>
  <c r="G64" i="29"/>
  <c r="H64" i="29"/>
  <c r="F31" i="29"/>
  <c r="K31" i="29"/>
  <c r="E31" i="29"/>
  <c r="D31" i="29"/>
  <c r="B31" i="29"/>
  <c r="G31" i="29"/>
  <c r="H31" i="29"/>
  <c r="K24" i="29"/>
  <c r="F24" i="29"/>
  <c r="E24" i="29"/>
  <c r="D24" i="29"/>
  <c r="B24" i="29"/>
  <c r="G24" i="29"/>
  <c r="H24" i="29"/>
  <c r="K68" i="29"/>
  <c r="F68" i="29"/>
  <c r="E68" i="29"/>
  <c r="H68" i="29"/>
  <c r="G68" i="29"/>
  <c r="D68" i="29"/>
  <c r="B68" i="29"/>
  <c r="K38" i="29"/>
  <c r="E38" i="29"/>
  <c r="D38" i="29"/>
  <c r="B38" i="29"/>
  <c r="F38" i="29"/>
  <c r="H38" i="29"/>
  <c r="G38" i="29"/>
  <c r="K42" i="29"/>
  <c r="E42" i="29"/>
  <c r="G42" i="29"/>
  <c r="D42" i="29"/>
  <c r="B42" i="29"/>
  <c r="H42" i="29"/>
  <c r="F42" i="29"/>
  <c r="F144" i="29"/>
  <c r="E144" i="29"/>
  <c r="G144" i="29"/>
  <c r="H144" i="29"/>
  <c r="D144" i="29"/>
  <c r="B144" i="29"/>
  <c r="K69" i="29"/>
  <c r="F69" i="29"/>
  <c r="D69" i="29"/>
  <c r="B69" i="29"/>
  <c r="E69" i="29"/>
  <c r="H69" i="29"/>
  <c r="G69" i="29"/>
  <c r="D86" i="29"/>
  <c r="B86" i="29"/>
  <c r="K86" i="29"/>
  <c r="F86" i="29"/>
  <c r="H86" i="29"/>
  <c r="G86" i="29"/>
  <c r="E86" i="29"/>
  <c r="E98" i="29"/>
  <c r="F98" i="29"/>
  <c r="D98" i="29"/>
  <c r="B98" i="29"/>
  <c r="H98" i="29"/>
  <c r="G98" i="29"/>
  <c r="K88" i="29"/>
  <c r="F88" i="29"/>
  <c r="E88" i="29"/>
  <c r="D88" i="29"/>
  <c r="B88" i="29"/>
  <c r="H88" i="29"/>
  <c r="G88" i="29"/>
  <c r="K60" i="29"/>
  <c r="F60" i="29"/>
  <c r="E60" i="29"/>
  <c r="D60" i="29"/>
  <c r="B60" i="29"/>
  <c r="H60" i="29"/>
  <c r="G60" i="29"/>
  <c r="F156" i="29"/>
  <c r="E156" i="29"/>
  <c r="D156" i="29"/>
  <c r="B156" i="29"/>
  <c r="H156" i="29"/>
  <c r="G156" i="29"/>
  <c r="D117" i="29"/>
  <c r="B117" i="29"/>
  <c r="E117" i="29"/>
  <c r="G117" i="29"/>
  <c r="F117" i="29"/>
  <c r="H117" i="29"/>
  <c r="K94" i="29"/>
  <c r="D94" i="29"/>
  <c r="B94" i="29"/>
  <c r="E94" i="29"/>
  <c r="F94" i="29"/>
  <c r="H94" i="29"/>
  <c r="G94" i="29"/>
  <c r="F79" i="29"/>
  <c r="E79" i="29"/>
  <c r="K79" i="29"/>
  <c r="H79" i="29"/>
  <c r="G79" i="29"/>
  <c r="D79" i="29"/>
  <c r="B79" i="29"/>
  <c r="F137" i="29"/>
  <c r="D137" i="29"/>
  <c r="B137" i="29"/>
  <c r="G137" i="29"/>
  <c r="E137" i="29"/>
  <c r="H137" i="29"/>
  <c r="K19" i="29"/>
  <c r="F19" i="29"/>
  <c r="E19" i="29"/>
  <c r="D19" i="29"/>
  <c r="B19" i="29"/>
  <c r="G19" i="29"/>
  <c r="H19" i="29"/>
  <c r="K72" i="29"/>
  <c r="E72" i="29"/>
  <c r="D72" i="29"/>
  <c r="B72" i="29"/>
  <c r="F72" i="29"/>
  <c r="H72" i="29"/>
  <c r="G72" i="29"/>
  <c r="F28" i="29"/>
  <c r="K28" i="29"/>
  <c r="E28" i="29"/>
  <c r="D28" i="29"/>
  <c r="B28" i="29"/>
  <c r="H28" i="29"/>
  <c r="G28" i="29"/>
  <c r="K73" i="29"/>
  <c r="D73" i="29"/>
  <c r="B73" i="29"/>
  <c r="H73" i="29"/>
  <c r="G73" i="29"/>
  <c r="F73" i="29"/>
  <c r="E73" i="29"/>
  <c r="F125" i="29"/>
  <c r="D125" i="29"/>
  <c r="B125" i="29"/>
  <c r="E125" i="29"/>
  <c r="H125" i="29"/>
  <c r="G125" i="29"/>
  <c r="K78" i="29"/>
  <c r="E78" i="29"/>
  <c r="D78" i="29"/>
  <c r="B78" i="29"/>
  <c r="F78" i="29"/>
  <c r="H78" i="29"/>
  <c r="G78" i="29"/>
  <c r="K63" i="29"/>
  <c r="E63" i="29"/>
  <c r="D63" i="29"/>
  <c r="B63" i="29"/>
  <c r="G63" i="29"/>
  <c r="F63" i="29"/>
  <c r="H63" i="29"/>
  <c r="F129" i="29"/>
  <c r="E129" i="29"/>
  <c r="H129" i="29"/>
  <c r="G129" i="29"/>
  <c r="D129" i="29"/>
  <c r="B129" i="29"/>
  <c r="F162" i="29"/>
  <c r="E162" i="29"/>
  <c r="D162" i="29"/>
  <c r="B162" i="29"/>
  <c r="H162" i="29"/>
  <c r="G162" i="29"/>
  <c r="E118" i="29"/>
  <c r="D118" i="29"/>
  <c r="B118" i="29"/>
  <c r="H118" i="29"/>
  <c r="F118" i="29"/>
  <c r="G118" i="29"/>
  <c r="F97" i="29"/>
  <c r="E97" i="29"/>
  <c r="G97" i="29"/>
  <c r="D97" i="29"/>
  <c r="B97" i="29"/>
  <c r="H97" i="29"/>
  <c r="K34" i="29"/>
  <c r="E34" i="29"/>
  <c r="G34" i="29"/>
  <c r="D34" i="29"/>
  <c r="B34" i="29"/>
  <c r="H34" i="29"/>
  <c r="F34" i="29"/>
  <c r="E114" i="29"/>
  <c r="D114" i="29"/>
  <c r="B114" i="29"/>
  <c r="G114" i="29"/>
  <c r="F114" i="29"/>
  <c r="H114" i="29"/>
  <c r="K43" i="29"/>
  <c r="E43" i="29"/>
  <c r="D43" i="29"/>
  <c r="B43" i="29"/>
  <c r="H43" i="29"/>
  <c r="F43" i="29"/>
  <c r="G43" i="29"/>
  <c r="F131" i="29"/>
  <c r="E131" i="29"/>
  <c r="D131" i="29"/>
  <c r="B131" i="29"/>
  <c r="H131" i="29"/>
  <c r="G131" i="29"/>
  <c r="D153" i="29"/>
  <c r="B153" i="29"/>
  <c r="G153" i="29"/>
  <c r="F153" i="29"/>
  <c r="E153" i="29"/>
  <c r="H153" i="29"/>
  <c r="K45" i="29"/>
  <c r="F45" i="29"/>
  <c r="D45" i="29"/>
  <c r="B45" i="29"/>
  <c r="E45" i="29"/>
  <c r="H45" i="29"/>
  <c r="G45" i="29"/>
  <c r="D138" i="29"/>
  <c r="B138" i="29"/>
  <c r="E138" i="29"/>
  <c r="F138" i="29"/>
  <c r="H138" i="29"/>
  <c r="G138" i="29"/>
  <c r="E107" i="29"/>
  <c r="D107" i="29"/>
  <c r="B107" i="29"/>
  <c r="F107" i="29"/>
  <c r="G107" i="29"/>
  <c r="H107" i="29"/>
  <c r="K46" i="29"/>
  <c r="E46" i="29"/>
  <c r="D46" i="29"/>
  <c r="B46" i="29"/>
  <c r="H46" i="29"/>
  <c r="F46" i="29"/>
  <c r="G46" i="29"/>
  <c r="E44" i="29"/>
  <c r="D44" i="29"/>
  <c r="B44" i="29"/>
  <c r="K44" i="29"/>
  <c r="F44" i="29"/>
  <c r="H44" i="29"/>
  <c r="G44" i="29"/>
  <c r="K70" i="29"/>
  <c r="D70" i="29"/>
  <c r="B70" i="29"/>
  <c r="H70" i="29"/>
  <c r="E70" i="29"/>
  <c r="G70" i="29"/>
  <c r="F70" i="29"/>
  <c r="K57" i="29"/>
  <c r="G57" i="29"/>
  <c r="F57" i="29"/>
  <c r="D57" i="29"/>
  <c r="B57" i="29"/>
  <c r="E57" i="29"/>
  <c r="H57" i="29"/>
  <c r="F113" i="29"/>
  <c r="E113" i="29"/>
  <c r="H113" i="29"/>
  <c r="G113" i="29"/>
  <c r="D113" i="29"/>
  <c r="B113" i="29"/>
  <c r="F159" i="29"/>
  <c r="E159" i="29"/>
  <c r="D159" i="29"/>
  <c r="B159" i="29"/>
  <c r="H159" i="29"/>
  <c r="G159" i="29"/>
  <c r="F126" i="29"/>
  <c r="E126" i="29"/>
  <c r="H126" i="29"/>
  <c r="D126" i="29"/>
  <c r="B126" i="29"/>
  <c r="G126" i="29"/>
  <c r="F112" i="29"/>
  <c r="G112" i="29"/>
  <c r="D112" i="29"/>
  <c r="B112" i="29"/>
  <c r="E112" i="29"/>
  <c r="H112" i="29"/>
  <c r="K84" i="29"/>
  <c r="E84" i="29"/>
  <c r="D84" i="29"/>
  <c r="B84" i="29"/>
  <c r="H84" i="29"/>
  <c r="G84" i="29"/>
  <c r="F84" i="29"/>
  <c r="E35" i="29"/>
  <c r="F35" i="29"/>
  <c r="D35" i="29"/>
  <c r="B35" i="29"/>
  <c r="G35" i="29"/>
  <c r="H35" i="29"/>
  <c r="K35" i="29"/>
  <c r="D121" i="29"/>
  <c r="B121" i="29"/>
  <c r="G121" i="29"/>
  <c r="F121" i="29"/>
  <c r="E121" i="29"/>
  <c r="H121" i="29"/>
  <c r="E20" i="29"/>
  <c r="D20" i="29"/>
  <c r="B20" i="29"/>
  <c r="K20" i="29"/>
  <c r="F20" i="29"/>
  <c r="G20" i="29"/>
  <c r="H20" i="29"/>
  <c r="K52" i="29"/>
  <c r="F52" i="29"/>
  <c r="E52" i="29"/>
  <c r="D52" i="29"/>
  <c r="B52" i="29"/>
  <c r="G52" i="29"/>
  <c r="H52" i="29"/>
  <c r="K62" i="29"/>
  <c r="G62" i="29"/>
  <c r="F62" i="29"/>
  <c r="E62" i="29"/>
  <c r="D62" i="29"/>
  <c r="B62" i="29"/>
  <c r="H62" i="29"/>
  <c r="E160" i="29"/>
  <c r="D160" i="29"/>
  <c r="B160" i="29"/>
  <c r="F160" i="29"/>
  <c r="H160" i="29"/>
  <c r="G160" i="29"/>
  <c r="F143" i="29"/>
  <c r="H143" i="29"/>
  <c r="E143" i="29"/>
  <c r="D143" i="29"/>
  <c r="B143" i="29"/>
  <c r="G143" i="29"/>
  <c r="D136" i="29"/>
  <c r="B136" i="29"/>
  <c r="F136" i="29"/>
  <c r="E136" i="29"/>
  <c r="H136" i="29"/>
  <c r="G136" i="29"/>
  <c r="E108" i="29"/>
  <c r="D108" i="29"/>
  <c r="B108" i="29"/>
  <c r="H108" i="29"/>
  <c r="F108" i="29"/>
  <c r="G108" i="29"/>
  <c r="D158" i="29"/>
  <c r="B158" i="29"/>
  <c r="F158" i="29"/>
  <c r="H158" i="29"/>
  <c r="G158" i="29"/>
  <c r="E158" i="29"/>
  <c r="E90" i="29"/>
  <c r="D90" i="29"/>
  <c r="B90" i="29"/>
  <c r="K90" i="29"/>
  <c r="F90" i="29"/>
  <c r="H90" i="29"/>
  <c r="G90" i="29"/>
  <c r="E36" i="29"/>
  <c r="K36" i="29"/>
  <c r="D36" i="29"/>
  <c r="B36" i="29"/>
  <c r="H36" i="29"/>
  <c r="F36" i="29"/>
  <c r="G36" i="29"/>
  <c r="F109" i="29"/>
  <c r="E109" i="29"/>
  <c r="D109" i="29"/>
  <c r="B109" i="29"/>
  <c r="H109" i="29"/>
  <c r="G109" i="29"/>
  <c r="K55" i="29"/>
  <c r="E55" i="29"/>
  <c r="D55" i="29"/>
  <c r="B55" i="29"/>
  <c r="F55" i="29"/>
  <c r="G55" i="29"/>
  <c r="H55" i="29"/>
  <c r="E115" i="29"/>
  <c r="D115" i="29"/>
  <c r="B115" i="29"/>
  <c r="F115" i="29"/>
  <c r="G115" i="29"/>
  <c r="H115" i="29"/>
  <c r="F16" i="29"/>
  <c r="G16" i="29"/>
  <c r="E16" i="29"/>
  <c r="K16" i="29"/>
  <c r="H16" i="29"/>
  <c r="D16" i="29"/>
  <c r="B16" i="29"/>
  <c r="K76" i="29"/>
  <c r="D76" i="29"/>
  <c r="B76" i="29"/>
  <c r="G76" i="29"/>
  <c r="F76" i="29"/>
  <c r="H76" i="29"/>
  <c r="E76" i="29"/>
  <c r="F21" i="29"/>
  <c r="D21" i="29"/>
  <c r="B21" i="29"/>
  <c r="K21" i="29"/>
  <c r="E21" i="29"/>
  <c r="H21" i="29"/>
  <c r="G21" i="29"/>
  <c r="F149" i="29"/>
  <c r="E149" i="29"/>
  <c r="D149" i="29"/>
  <c r="B149" i="29"/>
  <c r="G149" i="29"/>
  <c r="H149" i="29"/>
  <c r="D134" i="29"/>
  <c r="B134" i="29"/>
  <c r="F134" i="29"/>
  <c r="H134" i="29"/>
  <c r="G134" i="29"/>
  <c r="E134" i="29"/>
  <c r="E111" i="29"/>
  <c r="D111" i="29"/>
  <c r="B111" i="29"/>
  <c r="H111" i="29"/>
  <c r="G111" i="29"/>
  <c r="F111" i="29"/>
  <c r="D74" i="29"/>
  <c r="B74" i="29"/>
  <c r="F74" i="29"/>
  <c r="K74" i="29"/>
  <c r="H74" i="29"/>
  <c r="G74" i="29"/>
  <c r="E74" i="29"/>
  <c r="K83" i="29"/>
  <c r="F83" i="29"/>
  <c r="E83" i="29"/>
  <c r="H83" i="29"/>
  <c r="G83" i="29"/>
  <c r="D83" i="29"/>
  <c r="B83" i="29"/>
  <c r="F32" i="29"/>
  <c r="K32" i="29"/>
  <c r="E32" i="29"/>
  <c r="D32" i="29"/>
  <c r="B32" i="29"/>
  <c r="H32" i="29"/>
  <c r="G32" i="29"/>
  <c r="E100" i="29"/>
  <c r="D100" i="29"/>
  <c r="B100" i="29"/>
  <c r="F100" i="29"/>
  <c r="H100" i="29"/>
  <c r="G100" i="29"/>
  <c r="D61" i="29"/>
  <c r="B61" i="29"/>
  <c r="E61" i="29"/>
  <c r="H61" i="29"/>
  <c r="K61" i="29"/>
  <c r="G61" i="29"/>
  <c r="F61" i="29"/>
  <c r="E157" i="29"/>
  <c r="F157" i="29"/>
  <c r="H157" i="29"/>
  <c r="D157" i="29"/>
  <c r="B157" i="29"/>
  <c r="G157" i="29"/>
  <c r="E102" i="29"/>
  <c r="D102" i="29"/>
  <c r="B102" i="29"/>
  <c r="H102" i="29"/>
  <c r="G102" i="29"/>
  <c r="F102" i="29"/>
  <c r="K87" i="29"/>
  <c r="F87" i="29"/>
  <c r="E87" i="29"/>
  <c r="D87" i="29"/>
  <c r="B87" i="29"/>
  <c r="G87" i="29"/>
  <c r="H87" i="29"/>
  <c r="K25" i="29"/>
  <c r="D25" i="29"/>
  <c r="B25" i="29"/>
  <c r="H25" i="29"/>
  <c r="G25" i="29"/>
  <c r="E25" i="29"/>
  <c r="F25" i="29"/>
  <c r="K67" i="29"/>
  <c r="F67" i="29"/>
  <c r="E67" i="29"/>
  <c r="H67" i="29"/>
  <c r="G67" i="29"/>
  <c r="D67" i="29"/>
  <c r="B67" i="29"/>
  <c r="D150" i="29"/>
  <c r="B150" i="29"/>
  <c r="E150" i="29"/>
  <c r="F150" i="29"/>
  <c r="H150" i="29"/>
  <c r="G150" i="29"/>
  <c r="D161" i="29"/>
  <c r="B161" i="29"/>
  <c r="G161" i="29"/>
  <c r="F161" i="29"/>
  <c r="E161" i="29"/>
  <c r="H161" i="29"/>
  <c r="K50" i="29"/>
  <c r="E50" i="29"/>
  <c r="G50" i="29"/>
  <c r="D50" i="29"/>
  <c r="B50" i="29"/>
  <c r="F50" i="29"/>
  <c r="H50" i="29"/>
  <c r="F146" i="29"/>
  <c r="D146" i="29"/>
  <c r="B146" i="29"/>
  <c r="E146" i="29"/>
  <c r="H146" i="29"/>
  <c r="G146" i="29"/>
  <c r="K59" i="29"/>
  <c r="D59" i="29"/>
  <c r="B59" i="29"/>
  <c r="F59" i="29"/>
  <c r="E59" i="29"/>
  <c r="G59" i="29"/>
  <c r="H59" i="29"/>
  <c r="E163" i="29"/>
  <c r="D163" i="29"/>
  <c r="B163" i="29"/>
  <c r="F163" i="29"/>
  <c r="G163" i="29"/>
  <c r="H163" i="29"/>
  <c r="E110" i="29"/>
  <c r="D110" i="29"/>
  <c r="B110" i="29"/>
  <c r="F110" i="29"/>
  <c r="H110" i="29"/>
  <c r="G110" i="29"/>
  <c r="E155" i="29"/>
  <c r="D155" i="29"/>
  <c r="B155" i="29"/>
  <c r="H155" i="29"/>
  <c r="G155" i="29"/>
  <c r="F155" i="29"/>
  <c r="F141" i="29"/>
  <c r="D141" i="29"/>
  <c r="B141" i="29"/>
  <c r="H141" i="29"/>
  <c r="E141" i="29"/>
  <c r="G141" i="29"/>
  <c r="D101" i="29"/>
  <c r="B101" i="29"/>
  <c r="G101" i="29"/>
  <c r="F101" i="29"/>
  <c r="H101" i="29"/>
  <c r="E101" i="29"/>
  <c r="F105" i="29"/>
  <c r="E105" i="29"/>
  <c r="H105" i="29"/>
  <c r="G105" i="29"/>
  <c r="D105" i="29"/>
  <c r="B105" i="29"/>
  <c r="F124" i="29"/>
  <c r="E124" i="29"/>
  <c r="D124" i="29"/>
  <c r="B124" i="29"/>
  <c r="H124" i="29"/>
  <c r="G124" i="29"/>
  <c r="K39" i="29"/>
  <c r="D39" i="29"/>
  <c r="B39" i="29"/>
  <c r="H39" i="29"/>
  <c r="G39" i="29"/>
  <c r="F39" i="29"/>
  <c r="E39" i="29"/>
  <c r="E120" i="29"/>
  <c r="D120" i="29"/>
  <c r="B120" i="29"/>
  <c r="H120" i="29"/>
  <c r="F120" i="29"/>
  <c r="G120" i="29"/>
  <c r="K93" i="29"/>
  <c r="G93" i="29"/>
  <c r="E93" i="29"/>
  <c r="D93" i="29"/>
  <c r="B93" i="29"/>
  <c r="F93" i="29"/>
  <c r="H93" i="29"/>
  <c r="D122" i="29"/>
  <c r="B122" i="29"/>
  <c r="F122" i="29"/>
  <c r="E122" i="29"/>
  <c r="H122" i="29"/>
  <c r="G122" i="29"/>
  <c r="F145" i="29"/>
  <c r="G145" i="29"/>
  <c r="D145" i="29"/>
  <c r="B145" i="29"/>
  <c r="H145" i="29"/>
  <c r="E145" i="29"/>
  <c r="F85" i="29"/>
  <c r="D85" i="29"/>
  <c r="B85" i="29"/>
  <c r="E85" i="29"/>
  <c r="H85" i="29"/>
  <c r="G85" i="29"/>
  <c r="K85" i="29"/>
  <c r="K71" i="29"/>
  <c r="E71" i="29"/>
  <c r="D71" i="29"/>
  <c r="B71" i="29"/>
  <c r="F71" i="29"/>
  <c r="G71" i="29"/>
  <c r="H71" i="29"/>
  <c r="D22" i="29"/>
  <c r="B22" i="29"/>
  <c r="E22" i="29"/>
  <c r="H22" i="29"/>
  <c r="K22" i="29"/>
  <c r="G22" i="29"/>
  <c r="F22" i="29"/>
  <c r="D140" i="29"/>
  <c r="B140" i="29"/>
  <c r="G140" i="29"/>
  <c r="H140" i="29"/>
  <c r="F140" i="29"/>
  <c r="E140" i="29"/>
  <c r="E127" i="29"/>
  <c r="D127" i="29"/>
  <c r="B127" i="29"/>
  <c r="F127" i="29"/>
  <c r="G127" i="29"/>
  <c r="H127" i="29"/>
  <c r="E148" i="29"/>
  <c r="D148" i="29"/>
  <c r="B148" i="29"/>
  <c r="F148" i="29"/>
  <c r="H148" i="29"/>
  <c r="G148" i="29"/>
  <c r="D26" i="29"/>
  <c r="B26" i="29"/>
  <c r="F26" i="29"/>
  <c r="K26" i="29"/>
  <c r="E26" i="29"/>
  <c r="H26" i="29"/>
  <c r="G26" i="29"/>
  <c r="K80" i="29"/>
  <c r="D80" i="29"/>
  <c r="B80" i="29"/>
  <c r="F80" i="29"/>
  <c r="H80" i="29"/>
  <c r="E80" i="29"/>
  <c r="G80" i="29"/>
  <c r="K29" i="29"/>
  <c r="E29" i="29"/>
  <c r="F29" i="29"/>
  <c r="H29" i="29"/>
  <c r="D29" i="29"/>
  <c r="B29" i="29"/>
  <c r="G29" i="29"/>
  <c r="K47" i="29"/>
  <c r="E47" i="29"/>
  <c r="D47" i="29"/>
  <c r="B47" i="29"/>
  <c r="G47" i="29"/>
  <c r="F47" i="29"/>
  <c r="H47" i="29"/>
  <c r="K51" i="29"/>
  <c r="E51" i="29"/>
  <c r="D51" i="29"/>
  <c r="B51" i="29"/>
  <c r="F51" i="29"/>
  <c r="H51" i="29"/>
  <c r="G51" i="29"/>
  <c r="F116" i="29"/>
  <c r="E116" i="29"/>
  <c r="D116" i="29"/>
  <c r="B116" i="29"/>
  <c r="H116" i="29"/>
  <c r="G116" i="29"/>
  <c r="K33" i="29"/>
  <c r="F33" i="29"/>
  <c r="E33" i="29"/>
  <c r="H33" i="29"/>
  <c r="G33" i="29"/>
  <c r="D33" i="29"/>
  <c r="B33" i="29"/>
  <c r="K95" i="29"/>
  <c r="F95" i="29"/>
  <c r="E95" i="29"/>
  <c r="D95" i="29"/>
  <c r="B95" i="29"/>
  <c r="H95" i="29"/>
  <c r="G95" i="29"/>
  <c r="F128" i="29"/>
  <c r="E128" i="29"/>
  <c r="H128" i="29"/>
  <c r="G128" i="29"/>
  <c r="D128" i="29"/>
  <c r="B128" i="29"/>
  <c r="K41" i="29"/>
  <c r="D41" i="29"/>
  <c r="B41" i="29"/>
  <c r="G41" i="29"/>
  <c r="F41" i="29"/>
  <c r="E41" i="29"/>
  <c r="H41" i="29"/>
  <c r="F92" i="29"/>
  <c r="E92" i="29"/>
  <c r="D92" i="29"/>
  <c r="B92" i="29"/>
  <c r="K92" i="29"/>
  <c r="H92" i="29"/>
  <c r="G92" i="29"/>
  <c r="K37" i="29"/>
  <c r="D37" i="29"/>
  <c r="B37" i="29"/>
  <c r="G37" i="29"/>
  <c r="E37" i="29"/>
  <c r="H37" i="29"/>
  <c r="F37" i="29"/>
  <c r="K30" i="29"/>
  <c r="D30" i="29"/>
  <c r="B30" i="29"/>
  <c r="F30" i="29"/>
  <c r="G30" i="29"/>
  <c r="E30" i="29"/>
  <c r="H30" i="29"/>
  <c r="K15" i="29"/>
  <c r="F15" i="29"/>
  <c r="E15" i="29"/>
  <c r="D15" i="29"/>
  <c r="B15" i="29"/>
  <c r="G15" i="29"/>
  <c r="H15" i="29"/>
  <c r="F151" i="29"/>
  <c r="E151" i="29"/>
  <c r="H151" i="29"/>
  <c r="D151" i="29"/>
  <c r="B151" i="29"/>
  <c r="G151" i="29"/>
  <c r="E106" i="29"/>
  <c r="D106" i="29"/>
  <c r="B106" i="29"/>
  <c r="H106" i="29"/>
  <c r="F106" i="29"/>
  <c r="G106" i="29"/>
  <c r="D123" i="29"/>
  <c r="B123" i="29"/>
  <c r="F123" i="29"/>
  <c r="H123" i="29"/>
  <c r="E123" i="29"/>
  <c r="G123" i="29"/>
  <c r="K40" i="29"/>
  <c r="F40" i="29"/>
  <c r="E40" i="29"/>
  <c r="D40" i="29"/>
  <c r="B40" i="29"/>
  <c r="H40" i="29"/>
  <c r="G40" i="29"/>
  <c r="F132" i="29"/>
  <c r="E132" i="29"/>
  <c r="D132" i="29"/>
  <c r="B132" i="29"/>
  <c r="H132" i="29"/>
  <c r="G132" i="29"/>
  <c r="K77" i="29"/>
  <c r="F77" i="29"/>
  <c r="G77" i="29"/>
  <c r="D77" i="29"/>
  <c r="B77" i="29"/>
  <c r="H77" i="29"/>
  <c r="E77" i="29"/>
  <c r="D81" i="29"/>
  <c r="B81" i="29"/>
  <c r="K81" i="29"/>
  <c r="F81" i="29"/>
  <c r="E81" i="29"/>
  <c r="G81" i="29"/>
  <c r="H81" i="29"/>
  <c r="E142" i="29"/>
  <c r="D142" i="29"/>
  <c r="B142" i="29"/>
  <c r="G142" i="29"/>
  <c r="F142" i="29"/>
  <c r="H142" i="29"/>
  <c r="E119" i="29"/>
  <c r="D119" i="29"/>
  <c r="B119" i="29"/>
  <c r="F119" i="29"/>
  <c r="G119" i="29"/>
  <c r="H119" i="29"/>
  <c r="K58" i="29"/>
  <c r="F58" i="29"/>
  <c r="H58" i="29"/>
  <c r="G58" i="29"/>
  <c r="D58" i="29"/>
  <c r="B58" i="29"/>
  <c r="E58" i="29"/>
  <c r="E91" i="29"/>
  <c r="D91" i="29"/>
  <c r="B91" i="29"/>
  <c r="F91" i="29"/>
  <c r="K91" i="29"/>
  <c r="H91" i="29"/>
  <c r="G91" i="29"/>
  <c r="D103" i="29"/>
  <c r="B103" i="29"/>
  <c r="H103" i="29"/>
  <c r="F103" i="29"/>
  <c r="E103" i="29"/>
  <c r="G103" i="29"/>
  <c r="K65" i="29"/>
  <c r="F65" i="29"/>
  <c r="E65" i="29"/>
  <c r="D65" i="29"/>
  <c r="B65" i="29"/>
  <c r="H65" i="29"/>
  <c r="G65" i="29"/>
  <c r="D66" i="29"/>
  <c r="B66" i="29"/>
  <c r="H66" i="29"/>
  <c r="K66" i="29"/>
  <c r="E66" i="29"/>
  <c r="G66" i="29"/>
  <c r="F66" i="29"/>
  <c r="K89" i="29"/>
  <c r="D89" i="29"/>
  <c r="B89" i="29"/>
  <c r="F89" i="29"/>
  <c r="G89" i="29"/>
  <c r="H89" i="29"/>
  <c r="E89" i="29"/>
  <c r="F75" i="29"/>
  <c r="K75" i="29"/>
  <c r="E75" i="29"/>
  <c r="D75" i="29"/>
  <c r="B75" i="29"/>
  <c r="G75" i="29"/>
  <c r="H75" i="29"/>
  <c r="F139" i="29"/>
  <c r="E139" i="29"/>
  <c r="G139" i="29"/>
  <c r="H139" i="29"/>
  <c r="D139" i="29"/>
  <c r="B139" i="29"/>
  <c r="E135" i="29"/>
  <c r="D135" i="29"/>
  <c r="B135" i="29"/>
  <c r="H135" i="29"/>
  <c r="F135" i="29"/>
  <c r="G135" i="29"/>
  <c r="K18" i="29"/>
  <c r="D18" i="29"/>
  <c r="B18" i="29"/>
  <c r="E18" i="29"/>
  <c r="F18" i="29"/>
  <c r="H18" i="29"/>
  <c r="G18" i="29"/>
  <c r="K82" i="29"/>
  <c r="E82" i="29"/>
  <c r="D82" i="29"/>
  <c r="B82" i="29"/>
  <c r="H82" i="29"/>
  <c r="F82" i="29"/>
  <c r="G82" i="29"/>
  <c r="K27" i="29"/>
  <c r="D27" i="29"/>
  <c r="B27" i="29"/>
  <c r="G27" i="29"/>
  <c r="F27" i="29"/>
  <c r="E27" i="29"/>
  <c r="H27" i="29"/>
  <c r="E99" i="29"/>
  <c r="F99" i="29"/>
  <c r="H99" i="29"/>
  <c r="D99" i="29"/>
  <c r="B99" i="29"/>
  <c r="G99" i="29"/>
  <c r="M7" i="26"/>
  <c r="I54" i="29"/>
  <c r="I53" i="29"/>
  <c r="I49" i="29"/>
  <c r="I67" i="29"/>
  <c r="I61" i="29"/>
  <c r="I76" i="29"/>
  <c r="I84" i="29"/>
  <c r="I31" i="29"/>
  <c r="I75" i="29"/>
  <c r="I66" i="29"/>
  <c r="I71" i="29"/>
  <c r="I18" i="29"/>
  <c r="I65" i="29"/>
  <c r="I70" i="29"/>
  <c r="I94" i="29"/>
  <c r="I60" i="29"/>
  <c r="I38" i="29"/>
  <c r="I23" i="29"/>
  <c r="I92" i="29"/>
  <c r="I33" i="29"/>
  <c r="I85" i="29"/>
  <c r="I39" i="29"/>
  <c r="I83" i="29"/>
  <c r="I44" i="29"/>
  <c r="I72" i="29"/>
  <c r="I55" i="29"/>
  <c r="I20" i="29"/>
  <c r="I35" i="29"/>
  <c r="I27" i="29"/>
  <c r="L82" i="29"/>
  <c r="I91" i="29"/>
  <c r="I58" i="29"/>
  <c r="I30" i="29"/>
  <c r="I51" i="29"/>
  <c r="I47" i="29"/>
  <c r="I29" i="29"/>
  <c r="I26" i="29"/>
  <c r="I25" i="29"/>
  <c r="I74" i="29"/>
  <c r="I21" i="29"/>
  <c r="I16" i="29"/>
  <c r="I90" i="29"/>
  <c r="I46" i="29"/>
  <c r="I45" i="29"/>
  <c r="I43" i="29"/>
  <c r="I73" i="29"/>
  <c r="I28" i="29"/>
  <c r="I79" i="29"/>
  <c r="I69" i="29"/>
  <c r="I68" i="29"/>
  <c r="I48" i="29"/>
  <c r="I17" i="29"/>
  <c r="L15" i="29"/>
  <c r="L39" i="29"/>
  <c r="I19" i="29"/>
  <c r="L68" i="29"/>
  <c r="I15" i="29"/>
  <c r="I80" i="29"/>
  <c r="I22" i="29"/>
  <c r="I59" i="29"/>
  <c r="I36" i="29"/>
  <c r="I52" i="29"/>
  <c r="I57" i="29"/>
  <c r="I34" i="29"/>
  <c r="I42" i="29"/>
  <c r="I24" i="29"/>
  <c r="I64" i="29"/>
  <c r="I93" i="29"/>
  <c r="I87" i="29"/>
  <c r="I82" i="29"/>
  <c r="I89" i="29"/>
  <c r="I81" i="29"/>
  <c r="I77" i="29"/>
  <c r="I40" i="29"/>
  <c r="I37" i="29"/>
  <c r="I41" i="29"/>
  <c r="I95" i="29"/>
  <c r="I50" i="29"/>
  <c r="I32" i="29"/>
  <c r="I62" i="29"/>
  <c r="I63" i="29"/>
  <c r="I78" i="29"/>
  <c r="I88" i="29"/>
  <c r="I86" i="29"/>
  <c r="I56" i="29"/>
  <c r="L56" i="29"/>
</calcChain>
</file>

<file path=xl/sharedStrings.xml><?xml version="1.0" encoding="utf-8"?>
<sst xmlns="http://schemas.openxmlformats.org/spreadsheetml/2006/main" count="1035" uniqueCount="686">
  <si>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</si>
  <si>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</si>
  <si>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</si>
  <si>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t xml:space="preserve">El archivo contiene las siguientes hojas:
 -  </t>
    </r>
    <r>
      <rPr>
        <b/>
        <sz val="11"/>
        <rFont val="Arial Narrow"/>
        <family val="2"/>
      </rPr>
      <t xml:space="preserve">Pestañas por cada uno de los componentes de control interno: </t>
    </r>
    <r>
      <rPr>
        <sz val="10"/>
        <rFont val="Arial Narrow"/>
        <family val="2"/>
      </rPr>
      <t>"Ambiente de Control", "Evaluación de riesgos", "Actividades de control", "Información y Comunicación", y " Actividades de Monitoreo". las cuales cuentan todas con la siguiente estructura:</t>
    </r>
  </si>
  <si>
    <t>Columna</t>
  </si>
  <si>
    <t>Descripción</t>
  </si>
  <si>
    <r>
      <t xml:space="preserve">
</t>
    </r>
    <r>
      <rPr>
        <b/>
        <i/>
        <u/>
        <sz val="9"/>
        <rFont val="Arial Narrow"/>
        <family val="2"/>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</si>
  <si>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</si>
  <si>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</si>
  <si>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</si>
  <si>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t>Evaluación "</t>
    </r>
    <r>
      <rPr>
        <b/>
        <sz val="10"/>
        <rFont val="Arial Narrow"/>
        <family val="2"/>
      </rPr>
      <t>si se encuentra Presente"</t>
    </r>
    <r>
      <rPr>
        <b/>
        <sz val="9"/>
        <rFont val="Arial Narrow"/>
        <family val="2"/>
      </rPr>
      <t xml:space="preserve">
</t>
    </r>
    <r>
      <rPr>
        <sz val="9"/>
        <rFont val="Arial Narrow"/>
        <family val="2"/>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</si>
  <si>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</si>
  <si>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</si>
  <si>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</si>
  <si>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</si>
  <si>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</si>
  <si>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</si>
  <si>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</si>
  <si>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</si>
  <si>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t xml:space="preserve">Evaluación </t>
    </r>
    <r>
      <rPr>
        <b/>
        <sz val="10"/>
        <rFont val="Arial Narrow"/>
        <family val="2"/>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</si>
  <si>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</si>
  <si>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establecer si el Sistema de Control Interno evaluado se encuentra </t>
    </r>
    <r>
      <rPr>
        <b/>
        <sz val="10"/>
        <rFont val="Arial Narrow"/>
        <family val="2"/>
      </rPr>
      <t>PRESENTE y FUNCIONANDO</t>
    </r>
    <r>
      <rPr>
        <sz val="10"/>
        <rFont val="Arial Narrow"/>
        <family val="2"/>
      </rPr>
      <t xml:space="preserve">, permitiéndo definir puntos de mejora a través de los componentes del MECI y </t>
    </r>
    <r>
      <rPr>
        <sz val="10"/>
        <color rgb="FFFF0000"/>
        <rFont val="Arial Narrow"/>
        <family val="2"/>
      </rPr>
      <t>su articulacion</t>
    </r>
    <r>
      <rPr>
        <sz val="10"/>
        <rFont val="Arial Narrow"/>
        <family val="2"/>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</si>
  <si>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</si>
  <si>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</si>
  <si>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</si>
  <si>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</si>
  <si>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</si>
  <si>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</si>
  <si>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</si>
  <si>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</si>
  <si>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</si>
  <si>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</si>
  <si>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</si>
  <si>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</si>
  <si>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</si>
  <si>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</si>
  <si>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si el Sistema de Control Interno evaluado se encuentra </t>
    </r>
    <r>
      <rPr>
        <b/>
        <sz val="10"/>
        <rFont val="Arial Narrow"/>
        <family val="2"/>
      </rPr>
      <t>PRESENTE y FUNCIONANDO</t>
    </r>
    <r>
      <rPr>
        <sz val="10"/>
        <rFont val="Arial Narrow"/>
        <family val="2"/>
      </rPr>
      <t>, definiendo puntos de mejora a través de los componentes del MECI y su relación con las Dimensiones del MIPG.</t>
    </r>
  </si>
  <si>
    <r>
      <t xml:space="preserve"> -</t>
    </r>
    <r>
      <rPr>
        <sz val="11"/>
        <rFont val="Arial Narrow"/>
        <family val="2"/>
      </rPr>
      <t xml:space="preserve"> </t>
    </r>
    <r>
      <rPr>
        <b/>
        <sz val="11"/>
        <rFont val="Arial Narrow"/>
        <family val="2"/>
      </rPr>
      <t>Definiciones:</t>
    </r>
    <r>
      <rPr>
        <sz val="11"/>
        <rFont val="Arial Narrow"/>
        <family val="2"/>
      </rPr>
      <t xml:space="preserve"> A</t>
    </r>
    <r>
      <rPr>
        <sz val="10"/>
        <rFont val="Arial Narrow"/>
        <family val="2"/>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</si>
  <si>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</si>
  <si>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</si>
  <si>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</si>
  <si>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</si>
  <si>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</si>
  <si>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</si>
  <si>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</si>
  <si>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</si>
  <si>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</si>
  <si>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</si>
  <si>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</si>
  <si>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</si>
  <si>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</si>
  <si>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</si>
  <si>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</si>
  <si>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</si>
  <si>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</si>
  <si>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</si>
  <si>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</si>
  <si>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</si>
  <si>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</si>
  <si>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</si>
  <si>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</si>
  <si>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</si>
  <si>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</si>
  <si>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</si>
  <si>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</si>
  <si>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</si>
  <si>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</si>
  <si>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</si>
  <si>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</si>
  <si>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</si>
  <si>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</si>
  <si>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</si>
  <si>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</si>
  <si>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</si>
  <si>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</si>
  <si>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</si>
  <si>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</si>
  <si>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</si>
  <si>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</si>
  <si>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</si>
  <si>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</si>
  <si>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</si>
  <si>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</si>
  <si>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</si>
  <si>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</si>
  <si>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Herramiento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</si>
  <si>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</si>
  <si>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</si>
  <si>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</si>
  <si>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</si>
  <si>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</si>
  <si>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</si>
  <si>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</si>
  <si>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</si>
  <si>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</si>
  <si>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</si>
  <si>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</si>
  <si>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</si>
  <si>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</si>
  <si>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</si>
  <si>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</si>
  <si>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</si>
  <si>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</si>
  <si>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</si>
  <si>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</si>
  <si>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</si>
  <si>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</si>
  <si>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</si>
  <si>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</si>
  <si>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</si>
  <si>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</si>
  <si>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</si>
  <si>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r>
      <rPr>
        <b/>
        <u/>
        <sz val="11"/>
        <color theme="0"/>
        <rFont val="Arial Narrow"/>
        <family val="2"/>
      </rPr>
      <t>Lineamiento 1:</t>
    </r>
    <r>
      <rPr>
        <sz val="11"/>
        <color theme="0"/>
        <rFont val="Arial Narrow"/>
        <family val="2"/>
      </rPr>
      <t xml:space="preserve"> 
La entidad demuestra el compromiso con la integridad (valores) y principios del servicio público</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</si>
  <si>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</si>
  <si>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</si>
  <si>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t xml:space="preserve">EVIDENCIA DEL CONTROL </t>
  </si>
  <si>
    <r>
      <t xml:space="preserve">Funcionando 
</t>
    </r>
    <r>
      <rPr>
        <i/>
        <sz val="11"/>
        <color theme="0"/>
        <rFont val="Arial Narrow"/>
        <family val="2"/>
      </rPr>
      <t>(1/2/3)</t>
    </r>
  </si>
  <si>
    <t xml:space="preserve">Evaluación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</si>
  <si>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</si>
  <si>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</si>
  <si>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</si>
  <si>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</si>
  <si>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elaboracion y socializacion del Código de Integridad, con base en el informe presentando por la segunda linea de defensa (cuando aplique). </t>
  </si>
  <si>
    <t xml:space="preserve"> Se llevo a cabo un seguimiento a lo dispuesto en el marco del Comité Institucional de Coordinaciòn de Control Intenro, donde se determino la necesidad de estructurar el codigo de integridad siguiendo la metodologia de Funciòn Pùblica, para ello se delego como responsable del mismo al Secretario General.
Se encontro que se realizaron ejercicios ludicos y participativos para la construccion de los 5 valores institucionales, cada mes se  hacen campañas de interiorizacion de los mismo al personal de la entidad, teniendo como evidencia el compromiso de los funcionarios con el horario laboral, una reduccion del ausentismo asi como un bajo porcentaje de quejas por parte de los ciudadanos.
Por otra parte, se realiza seguimiento mensual por parte del Secretario General al cumplimiento de las actividades propuestas en el cronograma.</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</si>
  <si>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</si>
  <si>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</si>
  <si>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</si>
  <si>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 xml:space="preserve">1.2 Mecanismos para el manejo de conflictos de interés. </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</si>
  <si>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</si>
  <si>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</si>
  <si>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 xml:space="preserve">1.4 La evaluación de las acciones transversales de integridad, mediante el monitoreo permanente de los riesgos de corrupción. </t>
  </si>
  <si>
    <t>Dimension Talento Humano
Politica de Integridad</t>
  </si>
  <si>
    <t xml:space="preserve">1.5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
</t>
  </si>
  <si>
    <t>Dimensión Direccionamiento Estratégico y Planeación
Plan Anticorrupción y de Atención al Ciudadano</t>
  </si>
  <si>
    <r>
      <rPr>
        <b/>
        <u/>
        <sz val="11"/>
        <color theme="0"/>
        <rFont val="Arial Narrow"/>
        <family val="2"/>
      </rPr>
      <t>Lineamiento 2:</t>
    </r>
    <r>
      <rPr>
        <sz val="11"/>
        <color theme="0"/>
        <rFont val="Arial Narrow"/>
        <family val="2"/>
      </rPr>
      <t xml:space="preserve"> 
Aplicación de mecanismos para ejercer una adecuada supervisión del Sistema de Control Interno </t>
    </r>
  </si>
  <si>
    <t>Evaluación</t>
  </si>
  <si>
    <t>Referencia de la evaluacion independiente por parte de la Oficina de Control Interno o quien haga sus veces</t>
  </si>
  <si>
    <t>2.1 Creación o actualización del Comité Institucional de Coordinación de Control Interno (incluye ajustes en periodicidad para reunión, articulación con el Comité Institucioanl de Gestión y Desempeño).</t>
  </si>
  <si>
    <t>Dimension Control Interno
Politica de Control Interno</t>
  </si>
  <si>
    <t>2.2 Definición y documentación del Esquema de Líneas de Defensa</t>
  </si>
  <si>
    <t>Dimension Control Interno
Politica de Control Interno
Lineas de defensa</t>
  </si>
  <si>
    <t>2.3 Definición de líneas de reporte en temas clave para la toma de decisiones, atendiendo el Esquema de Líneas de Defensa</t>
  </si>
  <si>
    <t>Dimension Control Interno
Politica de Control Interno
Linea de Defensa
Dimension de Informaciòn y Comunicaciòn</t>
  </si>
  <si>
    <r>
      <rPr>
        <b/>
        <u/>
        <sz val="11"/>
        <color theme="0"/>
        <rFont val="Arial Narrow"/>
        <family val="2"/>
      </rPr>
      <t>Lineamiento 3:</t>
    </r>
    <r>
      <rPr>
        <sz val="11"/>
        <color theme="0"/>
        <rFont val="Arial Narrow"/>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</si>
  <si>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t>
  </si>
  <si>
    <t>Dimension de Direccionamiento Estrategico y Planeaciòn
Politica de Planeaciòn Institucional 
Dimension Control Interno</t>
  </si>
  <si>
    <t xml:space="preserve">3.2 La Alta Dirección frente a la política de Administración del Riesgo definen los niveles de aceptación del riesgo, teniendo en cuenta cada uno de los objetivos establecidos. </t>
  </si>
  <si>
    <t>Dimension Control Interno
Politica de Control Interno
Linea Estrategica</t>
  </si>
  <si>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</si>
  <si>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Evaluacion de Resultados 
Politica de Seguimiento y Evaluaciòn al Desemepeño Institucional
Dimension Control Interno
Lineas de defensa</t>
  </si>
  <si>
    <r>
      <rPr>
        <b/>
        <u/>
        <sz val="11"/>
        <color theme="0"/>
        <rFont val="Arial Narrow"/>
        <family val="2"/>
      </rPr>
      <t>Lineamiento 4:</t>
    </r>
    <r>
      <rPr>
        <sz val="11"/>
        <color theme="0"/>
        <rFont val="Arial Narrow"/>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</si>
  <si>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t>4.1 Evaluación de la Planeación Estratégica del Talento Humano.</t>
  </si>
  <si>
    <t>Dimension de Talento Humano
Politica Gestion Estrategica del Talento Humano
Dimension de Control Interno
Lineas de Defensa</t>
  </si>
  <si>
    <t>4.2 Evaluación de las actividades relacionadas con el Ingreso del personal.</t>
  </si>
  <si>
    <t>4.3 Evaluación de las actividades relacionadas con la permanencia del personal.</t>
  </si>
  <si>
    <t>4.4Analizar si se cuenta con políticas claras y comunicadas relacionadas con la responsabilidad de cada servidor sobre el desarrollo y mantenimiento del control interno (1a línea de defensa)</t>
  </si>
  <si>
    <t>4.5 Evaluación de las actividades relacionadas con el retiro del personal.</t>
  </si>
  <si>
    <t>4.6 Evaluar el impacto del Plan Institucional de Capacitación - PIC</t>
  </si>
  <si>
    <t>4.7 Evaluación frente a los productos y servicios en los cuales participan los contratistas de apoyo.</t>
  </si>
  <si>
    <r>
      <rPr>
        <b/>
        <u/>
        <sz val="11"/>
        <color theme="0"/>
        <rFont val="Arial Narrow"/>
        <family val="2"/>
      </rPr>
      <t>Lineamiento 5:</t>
    </r>
    <r>
      <rPr>
        <sz val="11"/>
        <color theme="0"/>
        <rFont val="Arial Narrow"/>
        <family val="2"/>
      </rPr>
      <t xml:space="preserve"> 
La entidad establece líneas de reporte dentro de la entidad para evaluar el funcionamiento del Sistema de Control Interno.</t>
    </r>
  </si>
  <si>
    <t>5.1 Acorde con la estructura del Esquema de Líneas de Defensa se han definido estándares de reporte, periodicidad y responsables frente a diferentes temas críticos de la entidad.</t>
  </si>
  <si>
    <t>Dimension de Informaciòn y Comunicaciòn
Dimensiòn de Control Interno
Lineas de Defensa</t>
  </si>
  <si>
    <t>5.2 La Alta Dirección analiza la información asociada con la generación de reportes financieros.</t>
  </si>
  <si>
    <t xml:space="preserve">
Dimensiòn de Control Interno
Linea de Estrategica</t>
  </si>
  <si>
    <t>5.3 Teniendo en cuenta la información suministrada por la 2a y 3a línea de defensa se toman decisiones a tiempo para garantizar el cumplimiento de las metas y objetivos.</t>
  </si>
  <si>
    <t>Dimensiòn de Control Interno
Lineas de Defensa</t>
  </si>
  <si>
    <t>5.4 Se evalúa la estructura de control a partir de los cambios en procesos, procedimientos, u otras herramientas, a fin de garantizar su adecuada formulación y afectación frente a la gestión del riesgo.</t>
  </si>
  <si>
    <t>Dimension de Gestion con Valores para Resultado
Politica de Fortalecimiento Organizacional y Simplificaciòn de Procesos
Dimension Control Interno
Lineas de Defensa</t>
  </si>
  <si>
    <t>5.5 La entidad aprueba y hace seguimiento al Plan Anual de Auditoría presentado y ejecutado por parte de la Oficina de Control Interno.</t>
  </si>
  <si>
    <t>Dimension Control Interno
Linea Estrategica</t>
  </si>
  <si>
    <t>5.6 La entidad analiza los informes presentados por la Oficina de Control Interno y evalúa su impacto en relación con la mejora institucional.</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</si>
  <si>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</si>
  <si>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</si>
  <si>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b/>
        <u/>
        <sz val="11"/>
        <color theme="0"/>
        <rFont val="Arial Narrow"/>
        <family val="2"/>
      </rPr>
      <t xml:space="preserve">Lineamiento 6: 
</t>
    </r>
    <r>
      <rPr>
        <b/>
        <sz val="11"/>
        <color theme="0"/>
        <rFont val="Arial Narrow"/>
        <family val="2"/>
      </rPr>
      <t xml:space="preserve">Definición de objetivos con suficiente claridad para identificar y evaluar los riesgos relacionados: i)Estratégicos; ii)Operativos; iii)Legales y Presupuestales; iv)De Información Financiera y no Financiera.
</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</si>
  <si>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</si>
  <si>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</si>
  <si>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</si>
  <si>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6.1  La Entidad cuenta con mecanismos para vincular o relacionar el plan estratégico con los objetivos estratégicos y estos a su vez con los objetivos operativos.</t>
  </si>
  <si>
    <t>Dimension de Direccionamiento Estratetegico y Planeacion.
Politica de Planeacion Institucional</t>
  </si>
  <si>
    <t>6.2 Los objetivos de los procesos, programas o proyectos (según aplique) que están definidos, son específicos, medibles, alcanzables, relevantes, delimitados en el tiempo.</t>
  </si>
  <si>
    <t>Dimension de Gestion con Valores para Resultado
Politica de Fortalecimiento Organizacional y Simplificaciòn de Procesos</t>
  </si>
  <si>
    <t>6.3 La Alta Dirección evalúa periódicamente los objetivos establecidos para asegurar que estos continúan siendo consistentes y apropiados para la Entidad.</t>
  </si>
  <si>
    <t>Dimension de Direccionamiento Estratetegico y Planeacion.
Politica de Planeacion Institucional
Dimension Control Interno
Linea Estrategica</t>
  </si>
  <si>
    <r>
      <rPr>
        <b/>
        <u/>
        <sz val="11"/>
        <color theme="0"/>
        <rFont val="Arial Narrow"/>
        <family val="2"/>
      </rPr>
      <t xml:space="preserve">Lineamiento 7: 
</t>
    </r>
    <r>
      <rPr>
        <b/>
        <sz val="11"/>
        <color theme="0"/>
        <rFont val="Arial Narrow"/>
        <family val="2"/>
      </rPr>
      <t xml:space="preserve">Identificación y análisis de riesgos (Analiza factores internos y externos; Implica a los niveles apropiados de la dirección; Determina cómo responder a los riesgos; Determina la importancia de los riesgos). 
</t>
    </r>
  </si>
  <si>
    <t>7.1 Teniendo en cuenta la estructura de la política de Administración del Riesgo, su alcance define lineamientos para toda la entidad, incluyendo regionales, áreas tercerizadas u otras instancias que afectan la prestación del servicio.</t>
  </si>
  <si>
    <t>7.2 La Oficina de Planeación, Gerencia de Riesgos (donde existan), como 2a línea de defensa, consolidan información clave frente a la gestión del riesgo.</t>
  </si>
  <si>
    <t>Dimension Control Interno 
Lineas de Defensa</t>
  </si>
  <si>
    <t>7.3 A partir de la información consolidada y reportada por la 2a línea de defensa (7.2), la Alta Dirección analiza sus resultados y en especial considera si se han presentado materializaciones de riesgo.</t>
  </si>
  <si>
    <t>7.4 Cuando se detectan materializaciones de riesgo, se definen los cursos de acción en relación con la revisión y actualización del mapa de riesgos correspondiente.</t>
  </si>
  <si>
    <t>Dimension de Direccionamiento Estratetegico y Planeacion.
Politica de Planeacion Institucional
Dimension Control Interno 
Lineas de Defensa</t>
  </si>
  <si>
    <t>7.5 Se llevan a cabo seguimientos a las acciones definidas para resolver materializaciones de riesgo detectadas.</t>
  </si>
  <si>
    <t>Dimension de Evaluacion de Resultados 
Politica de Seguimiento y evaluacion al Desempeño Institucional.
Dimension Control Interno 
Lineas de Defensa</t>
  </si>
  <si>
    <r>
      <rPr>
        <b/>
        <u/>
        <sz val="11"/>
        <color theme="0"/>
        <rFont val="Arial Narrow"/>
        <family val="2"/>
      </rPr>
      <t xml:space="preserve">Lineamiento 8: 
</t>
    </r>
    <r>
      <rPr>
        <b/>
        <sz val="11"/>
        <color theme="0"/>
        <rFont val="Arial Narrow"/>
        <family val="2"/>
      </rPr>
      <t xml:space="preserve">Evaluación del riesgo de fraude o corrupción. 
Cumplimiento artículo 73 de la Ley 1474 de 2011, relacionado con la prevención de los riesgos de corrupción.
</t>
    </r>
  </si>
  <si>
    <t>8.1 La Alta Dirección acorde con el análisis del entorno interno y externo, define los procesos, programas o proyectos (según aplique), susceptibles de posibles actos de corrupción.</t>
  </si>
  <si>
    <t>8.2 La Alta Dirección monitorea los riesgos de corrupción con la periodicidad establecida en la Política de Administración del Riesgo.</t>
  </si>
  <si>
    <t>Dimension de Control Interno
Linea Estrategica</t>
  </si>
  <si>
    <t>8.3 Para el desarrollo de las actividades de control, la entidad considera la adecuada división de las funciones y que éstas se encuentren segregadas en diferentes personas para reducir el riesgo de acciones fraudulentas.</t>
  </si>
  <si>
    <t>Dimension de Contro Interno
Lineas de Defensa</t>
  </si>
  <si>
    <t>8.4 La Alta Dirección evalúa fallas en los controles (diseño y ejecución) para definir cursos de acción apropiados para su mejora.</t>
  </si>
  <si>
    <r>
      <rPr>
        <b/>
        <u/>
        <sz val="11"/>
        <color theme="0"/>
        <rFont val="Arial Narrow"/>
        <family val="2"/>
      </rPr>
      <t xml:space="preserve">
Lineamiento 9:</t>
    </r>
    <r>
      <rPr>
        <b/>
        <sz val="11"/>
        <color theme="0"/>
        <rFont val="Arial Narrow"/>
        <family val="2"/>
      </rPr>
      <t xml:space="preserve"> </t>
    </r>
    <r>
      <rPr>
        <sz val="11"/>
        <color theme="0"/>
        <rFont val="Arial Narrow"/>
        <family val="2"/>
      </rPr>
      <t xml:space="preserve">Identificación y análisis de cambios significativos </t>
    </r>
  </si>
  <si>
    <t>9.1 Acorde con lo establecido en la política de Administración del Riesgo, se monitorean los factores internos y externos definidos para la entidad, a fin de establecer cambios en el entorno que determinen nuevos riesgos o ajustes a los existentes.</t>
  </si>
  <si>
    <t>Dimension de Direccionamiento Estrategico 
Politica de Planeacion Institucional</t>
  </si>
  <si>
    <t>9.2 La Alta Dirección analiza los riesgos asociados a actividades tercerizadas, regionales u otras figuras externas que afecten la prestación del servicio a los usuarios, basados en los informes de la segunda y tercera linea de defensa.</t>
  </si>
  <si>
    <t>Dimension de Control Interno
Lineas de Defensa</t>
  </si>
  <si>
    <t>9.3 La Alta Dirección monitorea los riesgos aceptados revisando que sus condiciones no hayan cambiado y definir su pertinencia para sostenerlos o ajustarlos.</t>
  </si>
  <si>
    <t>9.4 La Alta Dirección evalúa fallas en los controles (diseño y ejecución) para definir cursos de acción apropiados para su mejora, basados en los informes de la segunda y tercera linea de defensa.</t>
  </si>
  <si>
    <t>9.5 La entidad analiza el impacto sobre el control interno por cambios en los diferentes niveles organizacionales.</t>
  </si>
  <si>
    <t>Dimension de Direccionamiento Estrategico y Planeacion
Politica de Planeacion Institucional
Dimension de Control Interno
Linea Estrategica</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</si>
  <si>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</si>
  <si>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</si>
  <si>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0"/>
        <rFont val="Arial Narrow"/>
        <family val="2"/>
      </rPr>
      <t xml:space="preserve">
Lineamiento 10: 
</t>
    </r>
    <r>
      <rPr>
        <b/>
        <sz val="11"/>
        <color theme="0"/>
        <rFont val="Arial Narrow"/>
        <family val="2"/>
      </rPr>
      <t>Diseño y desarrollo de actividades de control (Integra el desarrollo de controles con la evaluación de riesgos; tiene en cuenta a qué nivel se aplican las actividades; facilita la segregación de funciones).</t>
    </r>
  </si>
  <si>
    <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</si>
  <si>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Funcionando</t>
    </r>
    <r>
      <rPr>
        <i/>
        <sz val="11"/>
        <color theme="0"/>
        <rFont val="Arial Narrow"/>
        <family val="2"/>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</si>
  <si>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</si>
  <si>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 xml:space="preserve">10.2 Se han idenfificado y documentado las situaciones específicas en donde no es posible segregar adecuadamente las funciones (ej: falta de personal, presupuesto), con el fin de definir actividades de control alternativas para cubrir los riesgos identificados. </t>
  </si>
  <si>
    <t>10.3 El diseño de otros  sistemas de gestión (bajo normas o estándares internacionales como la ISO), se intregan de forma adecuada a la estructura de control de la entidad.</t>
  </si>
  <si>
    <t xml:space="preserve">
Dimension de Gestion con Valores para Resultados
Dimension de Control Interno
Lineas de Defensa</t>
  </si>
  <si>
    <r>
      <rPr>
        <b/>
        <u/>
        <sz val="11"/>
        <color theme="0"/>
        <rFont val="Arial Narrow"/>
        <family val="2"/>
      </rPr>
      <t xml:space="preserve">Lineamiento 11: 
</t>
    </r>
    <r>
      <rPr>
        <b/>
        <sz val="11"/>
        <color theme="0"/>
        <rFont val="Arial Narrow"/>
        <family val="2"/>
      </rPr>
      <t>Seleccionar y Desarrolla controles generales sobre TI para apoyar la consecución de los objetivos .</t>
    </r>
  </si>
  <si>
    <t>11.1 La entidad establece actividades de control relevantes sobre las infraestructuras tecnológicas; los procesos de gestión de la seguridad y sobre los procesos de adquisición, desarrollo y mantenimiento de tecnologías.</t>
  </si>
  <si>
    <t xml:space="preserve">Dimension de Gestion con Valores para el Resultado
Politica de Gobierno Digital 
Politica de Seguridad Digital
</t>
  </si>
  <si>
    <t>11.2  Para los proveedores de tecnología  selecciona y desarrolla actividades de control internas sobre las actividades realizadas por el proveedor de servicios.</t>
  </si>
  <si>
    <t xml:space="preserve">11.3 Se cuenta con matrices de roles y usuarios siguiendo los principios de segregación de funciones.
</t>
  </si>
  <si>
    <t xml:space="preserve">Dimension de Gestion con Valores para el Resultado
Politica de Fortalecimiento Organizacional y Simplificacion de Procesos.
</t>
  </si>
  <si>
    <t xml:space="preserve">11.4 Se cuenta con información de la 3a línea de defensa, como evaluador independiente en relación con los controles implementados por el proveedor de servicios, para  asegurar que los riesgos relacionados se mitigan.
</t>
  </si>
  <si>
    <t>Dimension Control Interno
Tercera Linea de Defensa</t>
  </si>
  <si>
    <r>
      <rPr>
        <b/>
        <u/>
        <sz val="11"/>
        <color theme="0"/>
        <rFont val="Arial Narrow"/>
        <family val="2"/>
      </rPr>
      <t xml:space="preserve">Lineamiento 12: 
</t>
    </r>
    <r>
      <rPr>
        <b/>
        <sz val="11"/>
        <color theme="0"/>
        <rFont val="Arial Narrow"/>
        <family val="2"/>
      </rPr>
      <t>Despliegue de políticas y procedimientos (Establece responsabilidades sobre la ejecución de las políticas y procedimientos; Adopta medidas correctivas; Revisa las políticas y procedimientos).</t>
    </r>
  </si>
  <si>
    <t xml:space="preserve">12.1 Se evalúa la actualización de procesos, procedimientos, políticas de operación, instructivos, manuales u otras herramientas para garantizar la aplicación adecuada de las principales actividades de control.
</t>
  </si>
  <si>
    <t>Dimension de Gestion con Valores para el Resultado
Politica de Fortalecimiento Organizacional y Simplificacion de Procesos.</t>
  </si>
  <si>
    <t>12.2  El diseño de controles se evalúa frente a la gestión del riesgo.</t>
  </si>
  <si>
    <t xml:space="preserve">Todas las Dimensiones de MIPG 
</t>
  </si>
  <si>
    <t xml:space="preserve">12.3  Monitoreo a los riesgos acorde con la política de administración de riesgo establecida para la entidad.
</t>
  </si>
  <si>
    <t>Dimension de Direccionamiento Estrategico y Planeacion
Politica de Planeacion Institucional.</t>
  </si>
  <si>
    <t>12.4 Verificación de que los responsables estén ejecutando los controles tal como han sido diseñados.</t>
  </si>
  <si>
    <t>Dimension Control Interno
Segunda Linea de Defensa</t>
  </si>
  <si>
    <t>12.5  Se evalúa la adecuación de los controles a las especificidades de cada proceso, considerando cambios en regulaciones, estructuras internas u otros aspectos que determinen cambios en su diseño.</t>
  </si>
  <si>
    <t>Dimension Control Interno
 Lineas de Defensa</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</si>
  <si>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</si>
  <si>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</si>
  <si>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t xml:space="preserve">
Lineamiento 13: 
</t>
    </r>
    <r>
      <rPr>
        <b/>
        <sz val="11"/>
        <color theme="0"/>
        <rFont val="Arial Narrow"/>
        <family val="2"/>
      </rPr>
      <t>Utilización de información relevante (Identifica requisitos de información; Capta fuentes de datos internas y externas; Procesa datos relevantes y los transforma en información).</t>
    </r>
  </si>
  <si>
    <t>13.1 La entidad ha diseñado sistemas de información para capturar y procesar datos y transformarlos en información para alcanzar los requerimientos de información definidos.</t>
  </si>
  <si>
    <t xml:space="preserve">Dimension de Informacion y comunicación 
</t>
  </si>
  <si>
    <t>13.2  La entidad cuenta con el inventario de información relevante (interno/externa) y cuenta con un mecanismo que permita su actualización.</t>
  </si>
  <si>
    <t>Dimension de Informacion y comunicación 
Politica de Transparencia y Acceso a la Informaciòn Publica</t>
  </si>
  <si>
    <t>13.3 La entidad considera un ámbito amplio de fuentes de datos (internas y externas), para la captura y procesamiento posterior de información clave para la consecución de metas y objetivos.</t>
  </si>
  <si>
    <t>13.4 La entidad ha desarrollado e implementado actividades de control sobre la integridad, confidencialidad y disponibilidad de los datos e información definidos como relevantes.</t>
  </si>
  <si>
    <r>
      <t xml:space="preserve">
Lineamiento 14: 
</t>
    </r>
    <r>
      <rPr>
        <b/>
        <sz val="11"/>
        <color theme="0"/>
        <rFont val="Arial Narrow"/>
        <family val="2"/>
      </rPr>
      <t>Comunicación Interna (Se comunica con el Comité Institucional de Coordinación de Control Interno o su equivalente; Facilita líneas de comunicación en todos los niveles; Selecciona el método de comunicación pertinente).</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</si>
  <si>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</si>
  <si>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Dimension de Informacion y comunicación
</t>
  </si>
  <si>
    <t>14.2 La entidad cuenta con políticas de operación relacionadas con la administración de la información (niveles de autoridad y responsabilidad)</t>
  </si>
  <si>
    <t>14.3 La entidad cuenta con canales de información internos para la denuncia anónima o confidencial de posibles situaciones irregulares y se cuenta con mecanismos específicos para su manejo, de manera tal que generen la confianza para utilizarlos.</t>
  </si>
  <si>
    <t>14.4 La entidad establece e implementa políticas y procedimientos para facilitar una comunicación interna efectiva.</t>
  </si>
  <si>
    <r>
      <t xml:space="preserve">
Lineamiento 15: 
</t>
    </r>
    <r>
      <rPr>
        <b/>
        <sz val="11"/>
        <color theme="0"/>
        <rFont val="Arial Narrow"/>
        <family val="2"/>
      </rPr>
      <t>Comunicación con el exterior (Se comunica con los grupos de valor y con terceros externos interesados; Facilita líneas de comunicación).</t>
    </r>
  </si>
  <si>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</si>
  <si>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</si>
  <si>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 xml:space="preserve">15.2 La entidad cuenta con canales externos definidos de comunicación, asociados con el tipo de información a divulgar, y éstos son reconocidos a todo nivel de la organización.
</t>
  </si>
  <si>
    <t xml:space="preserve">Dimension de Informacion y Comunicación
Politica de Transparencia, acceso a la información pública y lucha
contra la corrupción </t>
  </si>
  <si>
    <t>15.3 La entidad cuenta con procesos o procedimiento para el manejo de la información entrante (quién la recibe, quién la clasifica, quién la analiza), y a la respuesta requierida (quién la canaliza y la responde).</t>
  </si>
  <si>
    <t xml:space="preserve">Dimension de Informacion y Comunicación
Politica de Gestion Documental
Politica de Transparencia, acceso a la información pública y lucha
contra la corrupción </t>
  </si>
  <si>
    <t xml:space="preserve">15.4 La entidad cuenta con procesos o procedimientos encaminados a evaluar periodicamente la efectividad de los canales de comunicación con partes externas, así como sus contenidos, de tal forma que se puedan mejorar.
</t>
  </si>
  <si>
    <t>Dimension de Informacion y Comunicación
Politica deControl Interno
Lineas de Defensa</t>
  </si>
  <si>
    <t>15.5 La entidad analiza periodicamente su caracterización de usuarios o grupos de valor, a fin de actualizarla cuando sea pertinente.</t>
  </si>
  <si>
    <t>Dimension de Direccionamiento Estrategico y Planeaciòn
Politica de Planeacion Institucional</t>
  </si>
  <si>
    <t>15.6 La entidad analiza periodicamente los resultados frente a la evaluación de percepción por parte de los usuarios o grupos de valor para la incorporación de las mejoras correspondientes.</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</si>
  <si>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</si>
  <si>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</si>
  <si>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0"/>
        <rFont val="Arial Narrow"/>
        <family val="2"/>
      </rPr>
      <t xml:space="preserve">Lineamiento 16. </t>
    </r>
    <r>
      <rPr>
        <sz val="11"/>
        <color theme="0"/>
        <rFont val="Arial Narrow"/>
        <family val="2"/>
      </rPr>
      <t xml:space="preserve"> Evaluaciones continuas y/o separadas (autoevaluación, auditorías) para determinar si los componentes del Sistema de Control Interno están presentes y funcionando.
</t>
    </r>
  </si>
  <si>
    <t>16.1 El comité Institucional de Coordinación de Control Interno aprueba anualmente el Plan Anual de Auditoría presentado por parte del Jefe de Control Interno o quien haga sus veces y hace el correspondiente seguimiento a sus ejecución?</t>
  </si>
  <si>
    <t>Dimension de Control Interno
Lineas Estrategica</t>
  </si>
  <si>
    <t>16.2  La Alta Dirección periódicamente evalúa los resultados de las evaluaciones (contínuas e independientes)  para concluir acerca de la efectividad del Sistema de Control Interno</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</si>
  <si>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</si>
  <si>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Dimension de Control Interno
Tercera Linea de Defensa</t>
  </si>
  <si>
    <t>16.4 Acorde con el Esquema de Líneas de Defensa se han implementado procedimientos de monitoreo continuo como parte de las actividades de la 2a línea de defensa, a fin de contar con información clave para la toma de decisiones.</t>
  </si>
  <si>
    <t>Dimension de Control Interno
Segunda Linea de Defensa</t>
  </si>
  <si>
    <t>16.5 Frente a las evaluaciones independientes la entidad considera evaluaciones externas de organismos de control, de vigilancia, certificadores, ONG´s u otros que permitan tener una mirada independiente de las operaciones.</t>
  </si>
  <si>
    <r>
      <rPr>
        <b/>
        <u/>
        <sz val="11"/>
        <color theme="0"/>
        <rFont val="Arial Narrow"/>
        <family val="2"/>
      </rPr>
      <t xml:space="preserve">Lineamiento 17. </t>
    </r>
    <r>
      <rPr>
        <sz val="11"/>
        <color theme="0"/>
        <rFont val="Arial Narrow"/>
        <family val="2"/>
      </rPr>
      <t xml:space="preserve"> 
Evaluación y comunicación de deficiencias oportunamente (Evalúa los resultados, Comunica las deficiencias y Monitorea las medidas correctivas).
</t>
    </r>
  </si>
  <si>
    <t>17.1 A partir de la información de las evaluaciones independientes, se evalúan para determinar su efecto en el Sistema de Control Interno de la entidad y su impacto en el logro de los objetivos, a fin de determinar cursos de acción para su mejora.</t>
  </si>
  <si>
    <t>17.2 Los informes recibidos de entes externos (organismos de control, auditores externos, entidades de vigilancia entre otros) se consolidan y se concluye sobre el impacto en el Sistema de Control Interno, a fin de determinar los cursos de acción.</t>
  </si>
  <si>
    <t>17.3 La entidad cuenta con políticas donde se establezca a quién reportar las deficiencias de control interno como resultado del monitoreo continuo.</t>
  </si>
  <si>
    <t>17.4 La Alta Dirección hace seguimiento a las acciones correctivas relacionadas con las deficiencias comunicadas sobre el Sistema de Control Interno y si se han cumplido en el tiempo establecido.</t>
  </si>
  <si>
    <t>17.5 Los procesos y/o servicios tercerizados, son evaluados acorde con su nivel de riesgos.</t>
  </si>
  <si>
    <t>17.6 Se evalúa la información suministrada por los usuarios (Sistema PQRD), así como de otras partes interesadas para la mejora del  Sistema de Control Interno de la Entidad?</t>
  </si>
  <si>
    <t xml:space="preserve">
Dimension de Informacion y Comunicación 
Dimension de Control Interno
Lineas de Defensa</t>
  </si>
  <si>
    <t xml:space="preserve">17.7 Verificación del avance y cumplimiento de las acciones incluidas en los planes de mejoramiento producto de las autoevaluaciones. (2ª Línea).
</t>
  </si>
  <si>
    <t xml:space="preserve">
Dimension de Control Interno
Lineas de Defensa</t>
  </si>
  <si>
    <t>17.8 Evaluación de la efectividad de las acciones incluidas en los Planes de mejoramiento producto de las auditorías internas y de entes externos. (3ª Línea)</t>
  </si>
  <si>
    <t>17.9 Las deficiencias de control interno son reportadas a los responsables de nivel jerárquico superior, para tomar la acciones correspondientes?</t>
  </si>
  <si>
    <t>ANÁLISIS DE RESULTADOS PARA LA TOMA DE DECISIONES</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</si>
  <si>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</si>
  <si>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</si>
  <si>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</si>
  <si>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Cuando en el análisis de los requerimientos en los diferentes componentes del MECI se cuente con aspectos evaluados en nivel 1 (presente) y 1 (funcionando); ;1 (presente) y 2 (funcionando); 1(presente) y 3 (funcionando).</t>
  </si>
  <si>
    <t>Registro de deficiencias</t>
  </si>
  <si>
    <t>RESULTADOS</t>
  </si>
  <si>
    <t>FUENTE DEL ANALISIS</t>
  </si>
  <si>
    <t>CONTROL PRESENTE</t>
  </si>
  <si>
    <t>CONTROL FUNCIONANDO</t>
  </si>
  <si>
    <t>OBSERVACIONES DEL CONTROL</t>
  </si>
  <si>
    <t>NIVEL DE CUMPLIMIENTO-ASPECTOS PARTICULARES POR COMPONENTE</t>
  </si>
  <si>
    <t>NIVEL DE CUMPLIMIENTO- DEL COMPONENTE</t>
  </si>
  <si>
    <t>RECOMENDACIONES DESDE LA MIRADA DE EVALUACION INDEPENDIENTE</t>
  </si>
  <si>
    <t>PLANES DE MEJORAMIENTO (Donde aplique)</t>
  </si>
  <si>
    <t>Id. Requerimiento</t>
  </si>
  <si>
    <t>Descripción del Lineamiento</t>
  </si>
  <si>
    <t>Pregunta Indicativa</t>
  </si>
  <si>
    <t>Accion(es) de Mejora</t>
  </si>
  <si>
    <t>Fecha de Inicio</t>
  </si>
  <si>
    <t>Fecha Terminacion</t>
  </si>
  <si>
    <t>Responsable</t>
  </si>
  <si>
    <t>Seguimiento</t>
  </si>
  <si>
    <t>% de avance</t>
  </si>
  <si>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</si>
  <si>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</si>
  <si>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</si>
  <si>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</si>
  <si>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</si>
  <si>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</si>
  <si>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¿Es efectivo el sistema de control interno para los objetivos evaluados? (Si/No) (Justifique su respuesta):</t>
  </si>
  <si>
    <t>No</t>
  </si>
  <si>
    <t>La entidad cuenta dentro de su Sistema de Control Interno, con una institucionalidad (Líneas de defensa)  que le permita la toma de decisiones frente al control (Si/No) (Justifique su respuesta):</t>
  </si>
  <si>
    <t>Si</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</si>
  <si>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</si>
  <si>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</si>
  <si>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</si>
  <si>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</si>
  <si>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</si>
  <si>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</si>
  <si>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Evaluación de riesgos</t>
  </si>
  <si>
    <t>Actividades de control</t>
  </si>
  <si>
    <t>Información y comunicación</t>
  </si>
  <si>
    <t xml:space="preserve">Monitoreo </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</si>
  <si>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</si>
  <si>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</si>
  <si>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</si>
  <si>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</si>
  <si>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</si>
  <si>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</si>
  <si>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</si>
  <si>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</si>
  <si>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</si>
  <si>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</si>
  <si>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</si>
  <si>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</si>
  <si>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</si>
  <si>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</si>
  <si>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</si>
  <si>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</si>
  <si>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</si>
  <si>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</si>
  <si>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</si>
  <si>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</si>
  <si>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</si>
  <si>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</si>
  <si>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</si>
  <si>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</si>
  <si>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</si>
  <si>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</si>
  <si>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</si>
  <si>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</si>
  <si>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</si>
  <si>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</si>
  <si>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</si>
  <si>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</si>
  <si>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</si>
  <si>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</si>
  <si>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</si>
  <si>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</si>
  <si>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</si>
  <si>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</si>
  <si>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</si>
  <si>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</si>
  <si>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</si>
  <si>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</si>
  <si>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</si>
  <si>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</si>
  <si>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</si>
  <si>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</si>
  <si>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</si>
  <si>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</si>
  <si>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</si>
  <si>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</si>
  <si>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</si>
  <si>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</si>
  <si>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</si>
  <si>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</si>
  <si>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</si>
  <si>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</si>
  <si>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</si>
  <si>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</si>
  <si>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</si>
  <si>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</si>
  <si>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</si>
  <si>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</si>
  <si>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</si>
  <si>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</si>
  <si>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</si>
  <si>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</si>
  <si>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</si>
  <si>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</si>
  <si>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</si>
  <si>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</si>
  <si>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</si>
  <si>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</si>
  <si>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</si>
  <si>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</si>
  <si>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</si>
  <si>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</si>
  <si>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</si>
  <si>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</si>
  <si>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</si>
  <si>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</si>
  <si>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</si>
  <si>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</si>
  <si>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</si>
  <si>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</si>
  <si>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</si>
  <si>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</si>
  <si>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</si>
  <si>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</si>
  <si>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</si>
  <si>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</si>
  <si>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</si>
  <si>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</si>
  <si>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</si>
  <si>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</si>
  <si>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</si>
  <si>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</si>
  <si>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</si>
  <si>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</si>
  <si>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</si>
  <si>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</si>
  <si>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</si>
  <si>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</si>
  <si>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</si>
  <si>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</si>
  <si>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</si>
  <si>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</si>
  <si>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</si>
  <si>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</si>
  <si>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</si>
  <si>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</si>
  <si>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</si>
  <si>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</si>
  <si>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</si>
  <si>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</si>
  <si>
    <t>La directriz abarca los riesgos de gestión y corrupción, y determina el seguimiento y su periodicidad.</t>
  </si>
  <si>
    <t>Informes de monitoreo de la Oficina de Planeación y Desarrollo Instituicional.</t>
  </si>
  <si>
    <t>Revisa y aprueba el Manual especifico de funciones y competencias laborales, además de sus actualizaciones.</t>
  </si>
  <si>
    <t>Instruye y delega responsabilidades acorde a las funciones.</t>
  </si>
  <si>
    <t>La metodología para la administración del riesgo de la Universidad del Cauca define el diseño de controles para mitigación del riesgo, y es el referente para la evaluación de los controles.</t>
  </si>
  <si>
    <t>Revisa los resultados entregados por las líneas de defensa.</t>
  </si>
  <si>
    <t>El proceso estratégico tiene asignada la competencia funcional frente a los medios de comunicación con las partes externas.</t>
  </si>
  <si>
    <t>Los medios utilizados son diversos y suficientes para la sociliazación de la información; pocas veces se evalúa la efectividad 
No existe una política y matriz de comunicación interna.</t>
  </si>
  <si>
    <r>
      <t xml:space="preserve">Se disponen de mecanismos internos apoyados en medios tecnológicos (Link punto anticorrupción) que garantizan confidencialidad para la  presentación de denuncias, quejas y/o reclamos.
</t>
    </r>
    <r>
      <rPr>
        <sz val="11"/>
        <color rgb="FFFF0000"/>
        <rFont val="Arial Narrow"/>
        <family val="2"/>
      </rPr>
      <t xml:space="preserve">
</t>
    </r>
  </si>
  <si>
    <t>Los procedimientos se atemperan parcialmente, no existe una política y matriz de comunicación interna.</t>
  </si>
  <si>
    <t>Sin trazabilidad de actualización.</t>
  </si>
  <si>
    <r>
      <t>La Universidad del Cauca dispone de un canal para la recepción de quejas y denuncias anticorrupción (Punto Anticorrupción); el cual las redirecciona a</t>
    </r>
    <r>
      <rPr>
        <sz val="11"/>
        <color rgb="FF002060"/>
        <rFont val="Arial Narrow"/>
        <family val="2"/>
      </rPr>
      <t xml:space="preserve"> la Secretaría General y a la </t>
    </r>
    <r>
      <rPr>
        <sz val="11"/>
        <rFont val="Arial Narrow"/>
        <family val="2"/>
      </rPr>
      <t xml:space="preserve"> Oficina de Control Interno para el ejercicio de seguimiento semestral.</t>
    </r>
  </si>
  <si>
    <t>El Plan estratégico del Talento Humano (publicado  Link Transparencia) se encuentra alineado con el MIPG, tiene la Rutas de creación de valor.</t>
  </si>
  <si>
    <t>La Universidad del Cauca cuenta con un Plan Estratégico 2020/2022, Plan de vancantes y previsión de recursos.</t>
  </si>
  <si>
    <t xml:space="preserve">El Plan estratégico del Talento Humano alineado con el MIPG, Plan de Vacantes y previsión de recursos publicados en el Link de Transparencia. </t>
  </si>
  <si>
    <t xml:space="preserve">La Universidad del Cauca cuenta con el Plan Estratégico del Talento Humano, el  Sistema Integrado de Gestión de Bienestar Laboral– SIGLA que integra el Plan de Bienestar y Calidad de Vida, Plan de Incentivos y Plan Institucional de Capacitación– PIC. 
que desarrolla estrategias para apoyo al retiro del servidor público. </t>
  </si>
  <si>
    <t>Formato PA-GA-5-FOR-39 Evaluación de Proveedores , disponible en el link LVMEN.</t>
  </si>
  <si>
    <t>Se carece de un informe ejecutivo que facilite la comprensión de las partes interesadas.</t>
  </si>
  <si>
    <t>El documento Código de Ética y Buen Gobierno presenta   debilidades en la contrucción e implementación; se encuentra en revisión un nuevo documentos previo a la presentación para aprobación.
 los cuales no se atemperan a los 5 principios que señala el  MIPG. 
En adopción y ajuste por parte de la Division de Gestión del Talento Humano del código de integridad con la inclusion del manejo de Conflictos de interes.</t>
  </si>
  <si>
    <t>Los resultados de los informes de evaluación constituyen insumo para reorientar los controles a partir de planes de mejoramiento y la  administración de los riesgos.</t>
  </si>
  <si>
    <t>Los resultados de los análisis son parcialmente considerados como mejora al Sistema de Control Interno</t>
  </si>
  <si>
    <t>No se diligencian planes de mejoramiento producto de las autoevaluaciones de los procesos administrativos.
La segunda línea (Centro de Gestión de la Calidad) realiza seguimiento al resultado de las autoevaluaciones realizadas por los programas académicos de pregrado y posgrado.</t>
  </si>
  <si>
    <t xml:space="preserve">Las deficiencias del Sistema de Control Interno son comunicadas a los responsables de los proceso y al Comité Institucional de Gestión del Desempeño y de control Interno, según lineamientos del procedimiento   PV-GC-2.6-PR-6 Evaluación y Seguimiento, </t>
  </si>
  <si>
    <t>El Comité Institucional de Gestión del Desempeño y de Control Interno Aprueba el Plan de Acción y su  programa de auditoría propuesto por la Oficina de Control Interno;  así mismos realiza ajuste al  programa de auditorías cuando es necesario.</t>
  </si>
  <si>
    <t xml:space="preserve">De manera permanente y como lo define el procedimiento  PV-GC-2.6-PR-6 Evaluación y Seguimiento, se informan  los resultados de las evaluaciones realizadas y de los resultados de los avances a las acciones de mejora de los planes de mejoramiento; como insumo para la toma de decisiones por parte de la Alta Dirección. </t>
  </si>
  <si>
    <t>Generalmente la evaluación se sujeta a la consideración del Comité respecto de la relevancia de los resultados y el impacto de las evaluaciones.</t>
  </si>
  <si>
    <t xml:space="preserve">Se cuenta con monitoreo a : la administración de los riesgos (MARUC), Plan Estratégico (procedimiento de Seguimiento y Evaluación al Plan de Acción y Plan de Desarrollo Institucional PE-GE 2.4.17), y a los planes de mejoramiento que surgen de las autoevaluaciones de los programas académicos (Res. R-290/2019 de Impulso a los planes de mejoramiento).
</t>
  </si>
  <si>
    <t>Producto de las evaluaciones independientes se presentan las observaciones que pueden afectar el logro de los objetivos de los procesos y recomienda los correctivos o acciones de mejora.  Procedimiento  PV-GC-2.6-PR-6 Evaluación y Seguimiento, y  PE-GS-2.2.1-PR-5 V;10 Auditorías de Calidad; con sus respectivos informes.</t>
  </si>
  <si>
    <t xml:space="preserve">Los informes de evaluación presenta en las observaciones las situaciones que pueden afectar el logro de los objetivos; con el propósito que el responsable del proceso reoriente las acciones. </t>
  </si>
  <si>
    <t>Los resultados se gestionan independientes sin considerar en conjunto el impacto en el sistema de control Interno.</t>
  </si>
  <si>
    <t>La Universidad a traves de la Resolución R-206/2020  adopción del MIPYG, la Guía de Auditoría PV-GC-26-OD-1 V: 2 y la Resolución R-290 de 2019 de Impulso al plan de Mejoramiento Institucional; define los responsables de gestionar el Sistema de Control Interno.</t>
  </si>
  <si>
    <t>Se identifican deficiencias en el desarrollo de la cultura de autocontrol que afectan los resultados del SCI.</t>
  </si>
  <si>
    <t>La Universidad realiza seguimiento a las acciones correctivas conforme lo establece el procedimiento  PV-GC-2.6-PR-6 Evaluación y Seguimiento y la Resolución R-290 de 2019 de Impulso al Plan de Mejoramiento Institucional; PE-GE-2.2-PR-09 V:2 Procedimiento Revisión por la Dirección.</t>
  </si>
  <si>
    <t xml:space="preserve">Generalmente el seguimiento a las acciones correctivas se sujeta a la consideración del Comité respecto de la relevancia de los resultados y el impacto.
</t>
  </si>
  <si>
    <t>El programa de auditoría está construido con enfoque en  la priorización de riesgos.</t>
  </si>
  <si>
    <t>La tercera línea  realiza seguimientos semestrales al avance de las acciones de los planes de mejoramiento y a su efectividad; informe publicado en la página web Institucional Link Planes de mejoramiento, Informe 2.6-52.18/01 del 2020.</t>
  </si>
  <si>
    <t>Sin considerar integralmente las deficiencias del Sistema de Control Interno</t>
  </si>
  <si>
    <t>Las acciones sobre las deficiencias del Control Interno se consideran parcialmente.</t>
  </si>
  <si>
    <t>El documento estratégico adoptó una metodología para la planeación a partir de procesos de participación y construcción colectiva, donde hacen presencia distintos actores tanto internos como externos.</t>
  </si>
  <si>
    <t xml:space="preserve">El Sistema de Cultura y Bienestar (A.S 030/2015) actualizado al Plan Estratégico 2018-2022; refiere diversos principios que promueven el respeto ,  la calidad de vida e identidad de los universitarios(as), así mismo, opera el Comité de Prevención y atención al Acoso labora y el Comité de Convivencia Laboral.  </t>
  </si>
  <si>
    <t>Acuerdo Superior 030 del 2015 crea el Sistema de Cultura y Bienestar Unicauca.
Mediantte Resolución No 473 de 2006 creó el Comité Universitario de Prevención y Atención del Acoso Laboral.
La Resolución R-447 del 2013 creó el Comité de Convivencia Laboral.
Acuerdo Superior 07/2006 Estatuto Administrativo</t>
  </si>
  <si>
    <t xml:space="preserve">
Conforme a la reglamentación y las políticas Institucionales, la Universidad del Cauca no aplica los linieamientos técnicos necesarios al manejo de conflictos de interés.</t>
  </si>
  <si>
    <t>Se estableció la Política del sistema de gestión de seguridad de la Información (Resolución R-785/2015) 
Se adoptaron los llineamientos para el desarrollo de X Audiencia Pública de Rendición de Cuentas a la Ciudadanía  ( Resolución R-0297/2020).</t>
  </si>
  <si>
    <t xml:space="preserve">La primera y segunda Linea de defensa realizan monitoreo y la tercera línea seguimiento a la administración del riesgo en la Universidad del Cauca.
</t>
  </si>
  <si>
    <t>La Resolución R-0106 del 2020  adopta el Modelo Integrado de Planeación y Gestión, y en ella se define la estructura y funcionamiento del Comité Institucional de Gestión del Desempeño y de Control Interno</t>
  </si>
  <si>
    <t>Se tiene establecida la Política de Administración del Riesgo (AS 029/2019), bajo las orientaciones del MIPG y la Guía gubernamental basada en la NTC ISO31000.</t>
  </si>
  <si>
    <t xml:space="preserve">La Universidad del Cauca cuenta con un Plan Estratégico 2020/2022 que desarrolla la Política estratégica de Talento Humano.
</t>
  </si>
  <si>
    <t xml:space="preserve">En la estrategia de ingreso no es visible la aplicación de mecanismos fundados en el principio de meritocracia. </t>
  </si>
  <si>
    <t xml:space="preserve">La Universidad del Cauca cuenta con el Plan Estratégico del Talento Humano, el  Sistema Integrado de Gestión de Bienestar Laboral– SIGLA que integra el Plan de Bienestar y Calidad de Vida, Plan de Incentivos y Plan Institucional de Capacitación– PIC. 
Publicados en el Link de Transparencia acorde al requerimiento Deceto 612 de 2017. </t>
  </si>
  <si>
    <t xml:space="preserve">El Plan estratégico del Talento Humano, documento Sistema Integrado de Gestión Laboral- SIGLA ( - PA- GA-5.1-OD-3 de 2018). 
</t>
  </si>
  <si>
    <t>La Universidad del Cauca cuenta con un Sistema Integrado de Gestión de Bienestar Laboral– SIGLA; Conformado por Plan de Bienestar y Calidad de Vida, Plan de Incentivos y Plan Institucional de Capacitación– PIC, publicados en el Link de Transparencia (Dec.612/2017).</t>
  </si>
  <si>
    <r>
      <t xml:space="preserve">El Plan estratégico del Talento Humano, documento Sistema Integrado de Gestión Laboral- SIGLA ( - PA- GA-5.1-OD-3 de 2018) están  
publicados en el Link de Transparencia y Lvmen ( Dec.612/2017).
</t>
    </r>
    <r>
      <rPr>
        <b/>
        <sz val="11"/>
        <color rgb="FFFF0000"/>
        <rFont val="Arial Narrow"/>
        <family val="2"/>
      </rPr>
      <t xml:space="preserve">
</t>
    </r>
    <r>
      <rPr>
        <sz val="11"/>
        <rFont val="Arial Narrow"/>
        <family val="2"/>
      </rPr>
      <t xml:space="preserve">
</t>
    </r>
  </si>
  <si>
    <t>El Plan estratégico del Talento Humano, documento Sistema Integrado de Gestión Laboral- SIGLA ( - PA- GA-5.1-OD-3 de 2018) están  
publicados en el Link de Transparencia y Lvmen ( Dec.612/2017).</t>
  </si>
  <si>
    <t>Se dispone del formato PA-GA-5-FOR-39 Evaluación de Proveedores, avalado por el Centro de Gestión de Calidad, para aplicar a los contratistas de apoyo.</t>
  </si>
  <si>
    <r>
      <rPr>
        <sz val="11"/>
        <rFont val="Arial Narrow"/>
        <family val="2"/>
      </rPr>
      <t xml:space="preserve">La Política de Administración del Riesgo (Acuerdo 029/2019), Resolución R-0106/ 2020 y Resolución 290/2019,determina responsabilidades en los servidores públicos frente al modelo de líneas de defensa en los procesos institucionales. </t>
    </r>
    <r>
      <rPr>
        <sz val="11"/>
        <color rgb="FFFF0000"/>
        <rFont val="Arial Narrow"/>
        <family val="2"/>
      </rPr>
      <t xml:space="preserve">
</t>
    </r>
  </si>
  <si>
    <t>Anualmente y bajo los esquemas del organismo rector en materia contable se presentan los estados financieros a la Alta Dirección. Las cuentas relevantes con movimientos importantes se soportan con las notas respectivas.</t>
  </si>
  <si>
    <t xml:space="preserve">Revisa los resultados entregados de la verificación realizada por la Segunda y Tercera linea </t>
  </si>
  <si>
    <t>Los resultados de los informes de evaluación y seguimiento realizados por la Tercera linea constituyen insumo para reorientar los controles a partir de planes de mejoramiento y la  administración de los riesgos.</t>
  </si>
  <si>
    <t xml:space="preserve">Los sistemas de información existentes dan el soporte tecnológico a las  principales actividades misionales  de la Universidad, con algunas falencias en la articulación y consolidación de datos. </t>
  </si>
  <si>
    <t xml:space="preserve">El comité aprobó el plan de acción presentado por la Oficina de Control Interno con acta  2.6 - 1.14/01  del 2019, y el seguimiento cuatrimestral al Plan de Acción lo realiza la Oficina de Control Interno.
</t>
  </si>
  <si>
    <t>Revisa y determina con los resposable de los procesos institucionales las acciones de mejora a tomar.</t>
  </si>
  <si>
    <t xml:space="preserve">Direccionar la mejora que resulta de las auditorías, a  partir de los informes comunicados por la OCI. </t>
  </si>
  <si>
    <t xml:space="preserve">Adoptar medidas administrativas que impulsen el mejoramiento de la gestión institucional. </t>
  </si>
  <si>
    <t xml:space="preserve">Los resultado de las evaluaciones externas realizadas por entes de control y vigilancia y organismos certificadores; son consideradas en los ejercicios de la Oficinas de Control Interno y el Centro de Gestión de la Calidad insumos  para la implementación de la mejora en los Sistemas de Gestión. </t>
  </si>
  <si>
    <t xml:space="preserve">Coordina la implementación de la mejora con base en los resultados de la evaluación externa.  </t>
  </si>
  <si>
    <t xml:space="preserve">La generalidad de los planes de mejoramiento resultan inefectivos, por lo que la OCI realiza acompañamientos permanentes e impulsó la adopción de medidas administrativas a través de la Resolución Rectoral 290 de 2019. </t>
  </si>
  <si>
    <r>
      <rPr>
        <sz val="11"/>
        <rFont val="Arial Narrow"/>
        <family val="2"/>
      </rPr>
      <t xml:space="preserve">Los objetivos estratégicos y operativos están definidos en el PDI, la política de calidad y las caracterizaciones de los procesos. </t>
    </r>
    <r>
      <rPr>
        <sz val="11"/>
        <color rgb="FFFF0000"/>
        <rFont val="Arial Narrow"/>
        <family val="2"/>
      </rPr>
      <t xml:space="preserve">                                                                                                 
</t>
    </r>
  </si>
  <si>
    <r>
      <rPr>
        <sz val="11"/>
        <rFont val="Arial Narrow"/>
        <family val="2"/>
      </rPr>
      <t xml:space="preserve">Poca fluidez en el proceso de comunicación de la línea estratégica y las líneas de defensa. </t>
    </r>
    <r>
      <rPr>
        <sz val="11"/>
        <color rgb="FFFF0000"/>
        <rFont val="Arial Narrow"/>
        <family val="2"/>
      </rPr>
      <t xml:space="preserve">                                                                                                                                                                          
</t>
    </r>
  </si>
  <si>
    <t xml:space="preserve">La Oficina de Planeación y Desarrollo Institucional como segunda linea de defensa, coordina y consolida la formulación del Mapa de Riesgos Institucional, y monitorea la efectividad de su  tratamiento.                                                                                                                                                                                                                                                                                                             
</t>
  </si>
  <si>
    <t xml:space="preserve">La Metodología de Administración del Riesgo de la  Universidad del Cauca-MARUC prevé dentro de las acciones de tratamiento compartir el riesgo, no obstante el Mapa de riesgos vigencia 2020 no lo considera  como  control y tratamiento.            
</t>
  </si>
  <si>
    <r>
      <t xml:space="preserve">El subproceso de gestión de recursos tecnológicos prevé procedimientos y controles para administrar los servicios tecnológicos universitarios, no obstante no es visible los relacionados con los proveedores.
</t>
    </r>
    <r>
      <rPr>
        <sz val="11"/>
        <color rgb="FFFF0000"/>
        <rFont val="Arial Narrow"/>
        <family val="2"/>
      </rPr>
      <t/>
    </r>
  </si>
  <si>
    <t xml:space="preserve">El Centro de Gestión de la Calidad y Acreditación Institucional coordina acciones  para la revisión y depuración de los documentos propios de cada proceso institucional (Formatos, Procedimientos, instructivos, Guías y Manuales). Sus modificaciones son impulsadas  por la Primera línea de Defensa con apoyo de  los gestores de calidad.
</t>
  </si>
  <si>
    <r>
      <t xml:space="preserve">Con vigencia anual o bienal, la OCI programa auditorías a la gestión institucional, acorde a los criterios técnicos con enfoque a la administración del riesgo, previstos en la  Guia de Auditoria de la Universidad del Cauca. 
</t>
    </r>
    <r>
      <rPr>
        <sz val="11"/>
        <color theme="1"/>
        <rFont val="Arial Narrow"/>
        <family val="2"/>
      </rPr>
      <t xml:space="preserve">
</t>
    </r>
  </si>
  <si>
    <r>
      <t xml:space="preserve">Revisa y decide con base en los  resultados de los monitoreos practicados por la segunda línea de defensa. 
</t>
    </r>
    <r>
      <rPr>
        <sz val="11"/>
        <color rgb="FFFF0000"/>
        <rFont val="Arial Narrow"/>
        <family val="2"/>
      </rPr>
      <t/>
    </r>
  </si>
  <si>
    <t xml:space="preserve">Dirige la implementación de la mejora del sistema de control interno con base en los resultados de la evaluación interna y externa.  
</t>
  </si>
  <si>
    <t xml:space="preserve">Las observaciones de los entes externos emiten conceptos respecto del estado del sistema de control interno, sobre lo cual se gestionan acciones de mejoramiento institucionales e individuales por procesos. 
</t>
  </si>
  <si>
    <t>La política del Sistema de Gestión de Seguridad de la Información no establece niveles de autoridad y responsabilidad; no se tiene política de acceso a la información</t>
  </si>
  <si>
    <t>Con el informe 2.6-52.18/21 de 2020 la OCI comunicó al Comité el segundo resultado del monitoreo a la gestión del riesgo, trasladando las observaciones  que constituyen insumo a las decisiones de mejora que le corresponden adoptar.</t>
  </si>
  <si>
    <t>Revisa periódicamenten el estado del Sistema de Gestión de la Calidad.</t>
  </si>
  <si>
    <t> El Jefe de la Oficina de Planeación y Desarrollo Institucional, como Coordinador General del MIPG.</t>
  </si>
  <si>
    <t>Recibe y analiza los resultados entregados por la tercera línea de defensa.</t>
  </si>
  <si>
    <t>Recibe los resultados de los ejercicios de auditoría y monitoreo</t>
  </si>
  <si>
    <t>Sin evidencias</t>
  </si>
  <si>
    <t>Los resultados de las evaluaciones de los organismos externos de control, vigilancia y/o certificadores se cosideran como insumo en los ejercicios de auditoría y hace seguimiento a las acciones mejoradoras de los planes de mejoramiento.</t>
  </si>
  <si>
    <t xml:space="preserve">La Universidad del Cauca  adoptó el Código de Ética y Buen Gobierno mediante la Resolución No. 323/2014 enmarcado en los principios Universitarios: Honestidad y responsabilidad, valoración integral del ser humano, Libertad y autonomía, Democracia y Participación.
</t>
  </si>
  <si>
    <t>El  Comité Institucional de Gestión del desempeño y e Control Interno conoció el informe 2.6-52.18/14 del 2020 de Evaluación al Proceso de Gestión del Talento Humano, que abordó temas referentes  a la Gestión estratégica del Talento Humano, incluyendo la política de Integridad; cuyo Plan de Mejoramiento la contiene como una actividad de mejora para entrega en el segundo semestre de 2021</t>
  </si>
  <si>
    <t xml:space="preserve">La información asociada con los reportes financieros se presentan al Consejo Superior como principal usuario, con el fin de apoyar la gestión de los recursos públicos y rendir cuentas a los órganos de control 
administrativo, fiscal, político y ciudadano.
Los estados financieros se presentan y explican sus resultados al Consejo Superior, máxima autoridad en la Institución 
</t>
  </si>
  <si>
    <t xml:space="preserve">Existen lineamientos aislados que aportan elementos a las políticas de Transparencia y acceso a la Información pública y de Gestión Documental, sin embargo, la poltica interna no ha desarrollado la clasificación de la información en los términocs del Decreto 1081 del 2015. 
Los mecanismos para la detección y prevención uso de información aseguran parcialmente los eventos de riesgo.
</t>
  </si>
  <si>
    <t>El Comité Institucional de Gestión del Desempeño y de Control Interno operó articuladamente durante la vigencia 2020</t>
  </si>
  <si>
    <t>El Modelo Integrado de Planeación y Gestión – MIPG  (R-106/2020)  y la Política de Administración del Riesgo (AS 029/2019) mediante las lineas de defensa asignan responsabilidades a los procesos como estrategia de gestión para el cumplimiento de roles específicos.</t>
  </si>
  <si>
    <t>El modelo Integrado de Planeación y Gestión-MIPG adoptado en la Universidad del Cauca, está alineado a la estructura del Manual Operativo del MIPG que se se desarrolla a través de las Líneas Estratégica y de Defensa.</t>
  </si>
  <si>
    <t>La Resolución R-0106 del 2020 que adopta el MIPG determina los objetivos y responsables de cada línea de defensa</t>
  </si>
  <si>
    <t>Informes de seguimiento cuatrimestral de seguimiento al PAAC: Nos 2.6-52.18/08 y 2.6-52.18/21 del I y II periodos del 2020 contiene el análisis a la formulación de los riesgos de gestión y corrupción, con debilidades frente a la aplicación de la metodología Institucional.
Sin evidencia de la evaluación de la Política de Administración del Riesgo.</t>
  </si>
  <si>
    <t>La Oficina de Planeación y Desarrollo Institucional y  Control Interno realizan seguimiento y evaluación semestral al Plan Estratégico Institucional.</t>
  </si>
  <si>
    <t>Los resultados del informe de seguimiento del Plan Estratégico, no presenta elementos  suficientes para la toma de decisiones por el Comité Institucional de Gestión del Desempeño  y del Control Interno.</t>
  </si>
  <si>
    <t xml:space="preserve">Se cuenta con el  Plan estrategico de Talento Humano, y  se evalúa los resultados de la ejecución del componente o plan que lo integra.(ejmplo: PIC) </t>
  </si>
  <si>
    <t xml:space="preserve">El Comité de Gestión del Desempeño y de Control Inteno no participa activamente en el direccionamiento de la política de gestión del talento humano; los planes de Incentivos y de Bienestar Laboral,  recogen parcialmente las necesidades institucionales. 
</t>
  </si>
  <si>
    <t xml:space="preserve">Se realizan actividades tendientes a sensibilizar a los universitarios en el desarrollo y mantenimiento del Control Interno, pero permanecen las deficiencas en los controles al cumplimiento de los roles. 
</t>
  </si>
  <si>
    <t>Se encuentra en ejecución el Plan de Mejoramiento resultante de la auditoría realizada al Proceso de Gestión de Talento Humano, que entre otros aspectos, incluye las estrategias de retiro de personal.</t>
  </si>
  <si>
    <t>Se encuentra en ejecución el Plan de Mejoramiento resultante de la auditoría realizada al Proceso de Gestión de Talento Humano, que entre otros aspectos, incluye el Plan de Capacitación.</t>
  </si>
  <si>
    <t>Resultado del seguimiento al Plan de Mejoramiento informe 2.6-52.18/02 de 2021 corte a diciembre del 2020; el avance de las acciones de mejora solo alcanzan el 60% y se hallan dos con avance cero (0).</t>
  </si>
  <si>
    <t>Algunos estándares de reportes se enuncian en guías, manuales y procedimientos; sin embargo, el impacto no es el óptimo en los asuntos de la entidad.  (Ejplo: Riesgos)</t>
  </si>
  <si>
    <t>Desde el comité de dirección, planeación y cordinación universitaria se toman decisiones  frente a los sistemas de gestión.
Se consideran parcialmente los informes de la segunda y tercera línea como insumo a las decisiones. Algunos reprocesos disminuyen la oportunidad en las decisiones.</t>
  </si>
  <si>
    <t>Para apoyar la formulación de los controles se cuenta con la Metodología de Administración del Riesgo (MARUC) e instructivos.</t>
  </si>
  <si>
    <t xml:space="preserve">Persiste inefectividad en la definición y aplicación de controles en algunos procesos y procedimientos institucionales. </t>
  </si>
  <si>
    <t xml:space="preserve">La evaluación de los controles lo realizan los procesos y subprocesos y los formaliza el Centro  Gestión de la Calidad.
</t>
  </si>
  <si>
    <t>La Alta Dirección y los procesos consideran los informes emitidos  por la Oficina de Control Interno-OCI.</t>
  </si>
  <si>
    <t>Los resultados se gestionan independiente sin considerar en conjunto el impacto en el SCI y en algunos casos los reprocesos disminuyen la oportunidad en las decisiones.</t>
  </si>
  <si>
    <t>El Plan de Acción de la Oficina de Control Interno vigencia bianual es aprobado por el Comité Institucional de Gestión del desempeño y de Control Interno y el seguimiento se realiza conforme a la Guía de Auditoría ( PV-GC-26-OD-1 V:2 del 2019)</t>
  </si>
  <si>
    <t>Registros en acta de la aprobación del Plan por parte del Comité Institucional de Gestión del Desempeño y de Control Interno; Asi como del seguimiento.</t>
  </si>
  <si>
    <t xml:space="preserve">El  Plan de Desarrollo 2018-2022 (Portal Web Institucional, link Transparecia), en la plataforma estratégica alude los referentes internos y externos base de la construcción del plan, los objetivos generales del Plan Educativo Institucional -PEI (Acuerdo 096/98) y los objetivos de calidad (AS 008/2018)
</t>
  </si>
  <si>
    <t xml:space="preserve">La caracterización de los procesos cuentan con los objetivos, asi mismo los programas y proyectos estratégicos; pero tienen falencias.
</t>
  </si>
  <si>
    <t xml:space="preserve">                                                                                                                                                               
La mayoría de los objetivos de los procesos, programas y proyectos incumplen con los criterios de su formulación.</t>
  </si>
  <si>
    <r>
      <rPr>
        <sz val="11"/>
        <rFont val="Arial Narrow"/>
        <family val="2"/>
      </rPr>
      <t xml:space="preserve">La Dirección evalúa los objetivos estratégicos institucionales. </t>
    </r>
    <r>
      <rPr>
        <sz val="11"/>
        <color rgb="FFFF0000"/>
        <rFont val="Arial Narrow"/>
        <family val="2"/>
      </rPr>
      <t xml:space="preserve">                                                                                                                                                               
</t>
    </r>
  </si>
  <si>
    <r>
      <rPr>
        <sz val="11"/>
        <rFont val="Arial Narrow"/>
        <family val="2"/>
      </rPr>
      <t xml:space="preserve">Se evalúa parcialmente la consistencia de los objetivos de la entidad.      </t>
    </r>
    <r>
      <rPr>
        <sz val="11"/>
        <color rgb="FFFF0000"/>
        <rFont val="Arial Narrow"/>
        <family val="2"/>
      </rPr>
      <t xml:space="preserve">                                                                                                                                                                                                                     
</t>
    </r>
  </si>
  <si>
    <t>El Consejo Superior adoptó la Política de Administración del Riesgo en la Universidad del Cauca a través del Acuerdo Superior  029/2019, publicada en el Portal web Institucional.</t>
  </si>
  <si>
    <t xml:space="preserve">Ls política de Administración del Riesgo adoptada en la Universidad es aplicable a toda la Institución, prevé responsables acorde a la estructura de líneas de defensa y la metodología para el tratamiento del riesgo. </t>
  </si>
  <si>
    <t>El mapa de riesgos Institucional consolida la información de la gestión del riesgo a traves del diligenciamiento del formato PE-GE-2.4-0D-03 Mapa de Riesgos de Gestión y Corrupción.</t>
  </si>
  <si>
    <t xml:space="preserve">El informe 2.6-52.18/08 de 2020 la OCI comunicó al Comité las mejoras a emprenderse respecto de la administración del riesgo, en lo relativo a la identificación y tratamiento técnico del riesgo. </t>
  </si>
  <si>
    <t xml:space="preserve">Los resultados de la evaluación a la gestión del riesgo en la Universidad del Cauca, se comunican al Comité Institucional de Gestión del Desempeño y de Control Interno, sobre el cual se recomendó por la tercera línea de defensa impulsar  medidas de mejoramiento. </t>
  </si>
  <si>
    <t xml:space="preserve">Informe de Evaluación No. 2.6-52.18/21 de 2020 remitido al Comité  Institucional de Gestión del Desempeño y de Control Interno para la toma de decisiones.
</t>
  </si>
  <si>
    <t xml:space="preserve"> La Linea Estratégica a través del Comité  Institucional de Gestión del Desempeño y de Control Interno emite los lineamientos conducentes al manejo del riesgo materializado.  </t>
  </si>
  <si>
    <t xml:space="preserve">Acorde a la responsabilidad delegada se monitorean las acciones realizadas ante la materialización del riesgo y, se informa el resultado a la linea estratégica. </t>
  </si>
  <si>
    <t xml:space="preserve">Registros de avances y resultados a traves de informes emitidos por los  responsables </t>
  </si>
  <si>
    <t xml:space="preserve">La Política de Administración del Riesgo y su Metodología para la administración del riesgo en la Universidad del Cauca- MARUC, establece los roles frente a los riesgos de corrupción, con lo que su valoración y tratamiento parte del análisis de contexto que realiza el lider y el equipo humano de cada proceso y subproceso. A la Dirección le corresponde orientar estratégicamente la administración del riesgo. 
</t>
  </si>
  <si>
    <t xml:space="preserve">El mapa de Riesgos Institucional aprobado y publicado.
</t>
  </si>
  <si>
    <t>El monitoreo lo realiza la segunda línea de defensa- Oficina de Planeación y Desarrollo Institucional, y el seguimiento, la tercera línea de defensa -Oficina de Control Interno.</t>
  </si>
  <si>
    <t>El Modelo Integrado de Planeación y Gestión MIPG, La Política de Administración del Riesgo, la Metodología para la Administración del Riesgo -MARUC y el Mapa de Riesgos de la Universidad del Cauca, individualizan las responsabilidades frente a la gestión del riesgo de corrupción</t>
  </si>
  <si>
    <t xml:space="preserve">Escasa efectividad de las acciones realizadas por los responsables.  </t>
  </si>
  <si>
    <t>El monitoreo lo realiza la segunda línea de defensa- Oficina de Planeación y Desarrollo Institucional, y el seguimiento, la tercera línea de defensa -Oficina de Control Interno, y los resultados se informan a la Linea Estratégica.</t>
  </si>
  <si>
    <t>Registros del ejercicio de monitoreo y seguimiento realizados por los responsables de las líneas de defensa.</t>
  </si>
  <si>
    <t>Los ajustes a los riesgos existentes con base en los factores externos e internos lo realizan la 2da Linea de Defensa con la asesoría de la Oficina de Planeación y Desarrollo Institucional.</t>
  </si>
  <si>
    <t>Versión actualizada del Mapa de Riesgos con base en el análisis de los factores internos y externos.</t>
  </si>
  <si>
    <t>La actualización de los riesgos mantienen fallas en la identificación.</t>
  </si>
  <si>
    <t xml:space="preserve">
Sin evidencia</t>
  </si>
  <si>
    <t xml:space="preserve">
Sin evidencias de las orientaciones de la Línea Estratégica. </t>
  </si>
  <si>
    <t xml:space="preserve">
En la administración del riesgo la OCI ha identificado debilidades en la aplicación de la Metodología de Administración del Riesgo en la Universidad del Cauca - MARUC. 
</t>
  </si>
  <si>
    <t>Los mecanismos para la detección y prevención del uso inadecuado de información priviligiada son vulnerables, aspectos que el Comité Institucional de Gestión del Desempeño  y del Control Interno, conoce a traves de los resultados de los informes de evaluación y seguimiento elaborados por la Tercera Línea de Defensa.</t>
  </si>
  <si>
    <t>Adopción de la Política de Administración del Riesgo con acuerdo 029 de 2019. 
Aprobación de la metodología de administración del riesgo y de instrumentos para  su aplicación.</t>
  </si>
  <si>
    <t xml:space="preserve">Conoce con periodicidad semestral los resultados  de evaluación a la administración del sistema  PQRSF, que comprende  las denuncias y/o quejas anticorrupción.
Con la misma periodicidad la Secretaría General como administradora de las PQRS  rinde informe al Comitè de Desempeño.
</t>
  </si>
  <si>
    <t>El canal establecido mantiene una baja participación por los grupos de interes, sin embargo, en la vigencia que se evalúa, se recibieron reportes de situaciones irregulares que permiteron adoptar medidas administrativas para la mejora de la gestión Institucional.</t>
  </si>
  <si>
    <t>La Oficina de Control Interno participó en las sesiones del Comité para la vigencia 2020 y la operatividad del  Comité se ajustán a lo descrita  en el Acto Administrativo de adopción.</t>
  </si>
  <si>
    <t xml:space="preserve">El Modelo Integrado de Planeación y Gestión – MIPG  (R-106/2020)  y la Política de Administración del Riesgo (AS 029/2019) mediante las lineas de defensa asignan responsabilidades a los procesos como estrategia de gestión para el cumplimiento de roles específicos.
</t>
  </si>
  <si>
    <t>La OPDI lidera la implementación del MIPG, aplicando los lineamientos internos definidos y con la conformación de grupo técnico de apoyo.</t>
  </si>
  <si>
    <t>La política contempla el impacto y la probabilidad; escala de impacto de los riesgos de corrupción, valoración y tratamiento de riesgo y define los niveles de aceptación del riesgo.</t>
  </si>
  <si>
    <t xml:space="preserve">Conoció y avaló la Política de Administración del Riesgo
</t>
  </si>
  <si>
    <t>La OCI evaluá con base en la MARUC los niveles de aceptación de los riesgos institucionales.</t>
  </si>
  <si>
    <t xml:space="preserve">El Comité Institucional de Gestión del Desempeño  y del Control Interno, conoce los informes ( 2.6-52.18/18 de 2020 corte al 31/12/2019),  de evaluación y seguimiento al Plan de Desarrollo Institucional. 
</t>
  </si>
  <si>
    <t>La Universidad del Cauca a través de la Resolución R-106 del 2020 actualizó el Modelo Integrado de Planeación y Gestión, y define lineamientos y responsables para el desarrollo y mantenimiento del Control Interno. 
La Resolución 290 del 2019, de impulso a planes de mejoramiento, define responsabilidades frente al cumplimiento de los Planes de Mejoramiento.</t>
  </si>
  <si>
    <t xml:space="preserve">Conoció y avaló las propuestas de lineamientos internos en materia de riesgos, planes de mejoramiento y adopción del MIPG.
Está publicada la Resolución de actualización del MIPG y desde la Oficina de Planeación y Desarrollo Institucional y la Oficina de Control Interno se realizan actividades de socialización y acompañamiento en beneficio del desarrollo y mantenimiento del Control Interno. </t>
  </si>
  <si>
    <r>
      <rPr>
        <sz val="11"/>
        <color theme="1"/>
        <rFont val="Arial Narrow"/>
        <family val="2"/>
      </rPr>
      <t xml:space="preserve">Conoció y avaló las propuestas de lineamientos internos en materia de riesgos, planes de mejoramiento y adopción del MIPG (Lineamientos en implementación).
El Modelo Integrado de Planeación y Gestión asigna responsabilidades frente a la presentación de los reportes externos e internos que debe rendir la Institución.   </t>
    </r>
    <r>
      <rPr>
        <sz val="11"/>
        <color rgb="FFFF0000"/>
        <rFont val="Arial Narrow"/>
        <family val="2"/>
      </rPr>
      <t xml:space="preserve">
</t>
    </r>
  </si>
  <si>
    <r>
      <t xml:space="preserve">Se comunica permanentemente al Comité los resultados de los informes de evaluación y seguimiento desarrollados por la segunda y tercera línea de defensa.
</t>
    </r>
    <r>
      <rPr>
        <sz val="11"/>
        <rFont val="Arial Narrow"/>
        <family val="2"/>
      </rPr>
      <t xml:space="preserve">
</t>
    </r>
  </si>
  <si>
    <t>Desde el comité de dirección, planeación y cordinación universitaria se toman decisiones  frente a los sistemas de gestión.</t>
  </si>
  <si>
    <t>Direcciona la estructuración de los controles
Existen registros de la aprobación del Plan Anual de Auditoría y de su seguimiento periódico</t>
  </si>
  <si>
    <t>Conoce los informes presentados por la Oficina de Control Interno.</t>
  </si>
  <si>
    <t xml:space="preserve">                                                                                                                                                               
No se visibiliza articulación entre los objetivos institucionales y el  Plan Estratégico.
</t>
  </si>
  <si>
    <r>
      <rPr>
        <sz val="11"/>
        <rFont val="Arial Narrow"/>
        <family val="2"/>
      </rPr>
      <t xml:space="preserve">La evaluación a la gestión del riesgo realizada, recomienda fortalecer el desarrollo de los roles que corresponden  a las línea Estratégica y las de defensa.  </t>
    </r>
    <r>
      <rPr>
        <sz val="11"/>
        <color rgb="FFFF0000"/>
        <rFont val="Arial Narrow"/>
        <family val="2"/>
      </rPr>
      <t xml:space="preserve">                                                                                                                   </t>
    </r>
  </si>
  <si>
    <t>Avalan las orientaciones y actuaciones de los designados para el  manejo del evento materializado y se actualiza el Mapa de Riesgos Institucional.</t>
  </si>
  <si>
    <t>Evaluá y realiza seguimiento a los riesgos conforme a los lineamientos internos.</t>
  </si>
  <si>
    <t xml:space="preserve">Los informes de seguimiento de la Tercera Línea de defensa incluye las observaciones que se determinan en el ejercicio de monitoreo  a las acciones de control.  </t>
  </si>
  <si>
    <t xml:space="preserve">En los informes de monitoreo a las acciones de control no se visualizan la identificación de los procesos, programas o proyectos susceptibles de posibles actos de corrupción.
</t>
  </si>
  <si>
    <t>El comité conoce los resultados de la evaluación de la tercera línea de defensa, a traves de los registros de monitoreo y seguimientos.</t>
  </si>
  <si>
    <t xml:space="preserve">Los resultados del monitoreo y seguimiento son escasamente considerados para la toma de decisiones.
</t>
  </si>
  <si>
    <t>Avalaron los actos administrativos emitidos por la autoridad Universitaria competente  Resolución R-106/2020 y Acuerdo Superior 029/2019,  Guía Metodología para la Administración del Riesgo de la Universidad del Cauca..</t>
  </si>
  <si>
    <t xml:space="preserve">Los resultados del monitoreo y seguimiento son escasamente considerados para la toma de decisiones.
</t>
  </si>
  <si>
    <t>Sin evidencias de las orientaciones de la gestión estratégica</t>
  </si>
  <si>
    <t xml:space="preserve">
Sin evidencia del análisis del impacto en el Sistema de Control Interno
</t>
  </si>
  <si>
    <t xml:space="preserve">La Política y el mapa institucional de riesgos individualiza las responsabilidades frente a la gestión del riesgo. 
Algunas  directrices  (Acuerdos y Resoluciones) guías y procedimientos documentados que establecen responsables y controles a la operación Universitaria.                                 
                                                                                                                                                                                                            </t>
  </si>
  <si>
    <t xml:space="preserve">Los controles establecidos no gestionan el riesgo de manera efectiva, situación que hace proclive  a la  materialización del riesgo. 
Los procedimientos se revisan y ajustan sin mayor efectividad, se obseva segmentación, no describen completamente el ciclo PHVA, los puntos de control y  en algunos casos la designación de responsables son  inadecuados.  
</t>
  </si>
  <si>
    <t xml:space="preserve">Mediante AS 032 del 2019, la Universidad aprobó el proceso de reclasificación de la planta de personal, que entre otros, permie reubicar el personal teniendo en cuenta la organización interna, las necesidades del servicio, los planes y programas de la entidad.
</t>
  </si>
  <si>
    <t>Aprobó el AS No. 032/2019 sobre reclasificación de la Planta de Personal.</t>
  </si>
  <si>
    <t xml:space="preserve">El Informe de la Oficina de Control Interno 2.6-52.18/14 del 2019  de evaluación al proceso de gestión de talento humano, emite observación frente a la carencia de personal en algunas dependencias y el insuficiente número de  cargos profesionales fijos.
</t>
  </si>
  <si>
    <t xml:space="preserve">La Universidad del Cauca adoptó el El Modelo Integrado de Planeación y Gestión – MIPG  (R-106/2020) el cual integra los sitemas de gestión con el sistema de control interno, el que acorde a las lineas de defensa define los responsables.
</t>
  </si>
  <si>
    <t xml:space="preserve">Toma decisiones frente al Sistema de Gestión de la Calidad y el Modelo Integrado de Planeación y Gestión.
La Oficina de Planeación y Desarrollo Institucional en su rol de coordinador del MIPG, realiza actividades 
</t>
  </si>
  <si>
    <t>La Institución a través del MIPG avanza en la implementación y articulación de los sistemas de Gestión (Sistema de Control Interno y el Sistema de Gestión de Calidad).</t>
  </si>
  <si>
    <t>Mediante la Resolución R-747 de 2012, se identifican y determinan las fuentes de información.
Con Resolución  R-785 de 2015 se adopta la Política del Sistema de Gestión de Seguridad de la Información de la Universidad del Cauca
Se tiene el procedimiento Seguridad de los Sistemas y Redes de Información, PA-GA-5.3.PR-20 V: 2 del 2016</t>
  </si>
  <si>
    <t>La dirección Universitaria avala e incentiva el uso y apropiación de tecnologías de información y comunicaciones como apoyo a las tareas misionales y de gestión de la entidad.</t>
  </si>
  <si>
    <r>
      <t xml:space="preserve">Sin evidencia de controles relevantes y adecuados a la  infraestructura tecnológica, y a la adquiciión, desarrollo y mantenimiento de las tecnologías.
El procedimiento está desactualizado frente a los referentes de seguridad y la política interna.
Sin evidencia de la aplicación de la política de seguridad digital. 
</t>
    </r>
    <r>
      <rPr>
        <sz val="11"/>
        <color rgb="FFFF0000"/>
        <rFont val="Arial Narrow"/>
        <family val="2"/>
      </rPr>
      <t/>
    </r>
  </si>
  <si>
    <t xml:space="preserve">La Institución continua con bajo desarrollo en la gestión del riesgo digital. 
Sin evidencia de la aplicación de la  política de seguridad digital. 
</t>
  </si>
  <si>
    <t xml:space="preserve">
Sin evidencia de matriz de roles y usuarios</t>
  </si>
  <si>
    <t>La Oficina de Control Interno emitió el informe 2.6-52.18/09 del 2018 de seguimiento  al procedimiento de evaluación de proveedores de la Universidad del Cauca.</t>
  </si>
  <si>
    <t xml:space="preserve">El último seguimiento (Diciembre 2020) al avances y cumplimiento de las acciones del Plan de Mejoramiento alcanza  el 60% y 27% respectivamente; resultados bajos frente a las fecha estimadas de terminación de las actividades.
Falta gestionar los riesgos de seguridad digital. </t>
  </si>
  <si>
    <t>Avala las propuestas de actualización de documentos.  La trazabilidad del control de documentos se visibiliza en las versiones de los procedimientos, instructivos y manuales.</t>
  </si>
  <si>
    <t>Los ejercicios de auditoría  de la OCI identifican debilidad en la caracterización de los procesos y la documentación de procedimientos</t>
  </si>
  <si>
    <t xml:space="preserve">Algunos controles definidos por los procesos no atienden las orientaciones técnicas que permitan alcanzar niveles de efectividad  en la administración del riesgo. 
</t>
  </si>
  <si>
    <t>El monitoreo no es informado al Comité</t>
  </si>
  <si>
    <t xml:space="preserve">Existen mejoras  en el monitoreo a los riesgos realizado por  la segunda línea de defensa, sin embargo, debe fortalecerse  la identificación de los riesgos emergentes y la comunicación de resultados a la Línea estratégica.
</t>
  </si>
  <si>
    <t>El procedimiento PV-GC-2.6-PR-1 de evaluación de la gestión del riesgo, contempla para el II y III cuatrimestre de cada vigencia la verificación de la aplicación y efectividad de los controles.
La Oficina de Control Interno realizó Seguimiento al Plan Anticorrupción y Atención al Ciudadano consolidado en los  Informes 2.6-52.18/08 de abril de 2020 y No. 2.6-52.18/21 de 2020  que incluyó la evaluación a la Gestión de los Riesgos frente al mapa de Riesgos.</t>
  </si>
  <si>
    <t>Se determinan falencias en la aplicación de los controles.</t>
  </si>
  <si>
    <t>Los controles se identifican en la documentación de los procedimientos y riesgos, sin documentar los controles en la caracterización de los procesos.</t>
  </si>
  <si>
    <t xml:space="preserve">La información institucional referida al servicio misional y de apoyo se captura y procesa a través de sistemas definidos en la Resolución 747 de 2012 (Sobre identifación y determinación de fuentes de información- Art.2).
</t>
  </si>
  <si>
    <t>Valida los sistema de información.</t>
  </si>
  <si>
    <t xml:space="preserve">En el link de transparencia del portal web Institucional, contiene la información de caracter público.  
El proceso de apoyo despliega a traves del Link Lvmen, los procedimientos que se relacionan con la gestión documental.
</t>
  </si>
  <si>
    <t>El proceso de apoyo Gestión Administrativa y Financiera despliega a traves del Link Lvmen, los procedimientos relacionados con la gestión documental.</t>
  </si>
  <si>
    <t>La Institución no cuenta con el inventario de información relevante interna y externa, tampoco se visibiliza mecanismo para la actualización.</t>
  </si>
  <si>
    <r>
      <t xml:space="preserve">Los procesos institucionales prevén en su caracterización las fuentes proveedoras de información, como insumo al logro de sus metas y objetivos. 
Igualmente existe un documento contexto de la Universidad del Cauca (PE-GS-2.2.1-OD-2) que analiza las fuentes de información. 
</t>
    </r>
    <r>
      <rPr>
        <sz val="11"/>
        <color rgb="FFFF0000"/>
        <rFont val="Arial Narrow"/>
        <family val="2"/>
      </rPr>
      <t/>
    </r>
  </si>
  <si>
    <t>Analiza los factores internos y externos para procesar información relevante para la toma de decisiones.</t>
  </si>
  <si>
    <t xml:space="preserve">La caracterización del proceso no constituye el referente para la operación y es poco relevante  al cumplimiento de objetivos y metas. 
</t>
  </si>
  <si>
    <t xml:space="preserve">Existe el instrumento archivístico para controlar el ciclo de vida de los documentos.
El Manual de Políticas Contables adoptado en el AS 012 de 2018, establece controles a la Información financiera.
Tablas de Retención Documental  PA-GA-2.1.1-OD-1
</t>
  </si>
  <si>
    <t>Revisa los ajustes de los documentos que apoyan a la integridad, confidencialidad y disponibilidad de la información.</t>
  </si>
  <si>
    <t xml:space="preserve">Los controles se encuentran  parcialmente documentados. Algunos son débiles por falta de   determinación  de la tipología de información, y la  gestión del riesgo no permite anticipar los eventos adversos a la integridad, confindencialidad y disponibilidad de la información.  No se hallan caracterizados los activos de seguridad digital.
</t>
  </si>
  <si>
    <t xml:space="preserve">Los mecanismos existentes para difusión de la gestión Institucional son: Página Web Institucional, correos electrónicos, radio y televisión, carteleras, conversatorios, redes sociales y rendición de cuentas. 
</t>
  </si>
  <si>
    <t xml:space="preserve">Valida los mecanismos para la comunicación al interior y exterior de la Universidad
</t>
  </si>
  <si>
    <r>
      <t xml:space="preserve">Se tiene la declaración general de la Dirección de la Universidad del Cauca a la implementación del Sistema de Gestión de Seguridad de la Información - SGSI y al apoyo, generación y publicación de sus políticas, procedimientos e instructivos.
</t>
    </r>
    <r>
      <rPr>
        <sz val="11"/>
        <color rgb="FFFF0000"/>
        <rFont val="Arial Narrow"/>
        <family val="2"/>
      </rPr>
      <t xml:space="preserve">
</t>
    </r>
  </si>
  <si>
    <t>Avala la política del Sistema de Gestión de Seguridad de la Información de la Universidad del Cauca (Resolución R-785 de 2015).</t>
  </si>
  <si>
    <t>Reglamenta el Trámite de Peticiones, Quejas, Reclamos, Sugerencias y Felicitaciones (Resolución R-141/2019).</t>
  </si>
  <si>
    <t>Advierte la importancia de activar el canal de denuncias, para fortalecer la estrategia de lucha contra la corrupción.</t>
  </si>
  <si>
    <t xml:space="preserve">Se tiene el documento de Téminos y Políticas de publicación en el Portal Web Institucional, con los sitios Web que lo conforman, cómo funciona, los usos aceptados y los que deben evitarse.
Refiere  los medios de comunicación existentes: página web, correos institucionales (dependencias, servidores y contratistas)
Otros Medios: Emisora Unicauca, Televisión, periódicos y revistas.
Redes sociales:facebook, Twitter, Canal Youtube
</t>
  </si>
  <si>
    <t>Regula el uso de los medios de información y comunicación.</t>
  </si>
  <si>
    <t>Sin establecer la política y matriz de comunicación organizacional.Se disponen de mecanismos internos para facilitar la comunicación interna efectiva</t>
  </si>
  <si>
    <t>Se tienen definidos los términos y pólitica de publicación, el Sistema Institucional de Comunicaciones define los controles para la publicación de los temas de interés general.</t>
  </si>
  <si>
    <t xml:space="preserve">Regula el uso de los medios de información y comunicación.
</t>
  </si>
  <si>
    <t xml:space="preserve">Algunos controles de los procedimientos son poco efectivos. 
</t>
  </si>
  <si>
    <t>La Institución se apoya  en medios tecnológicos para divulgar la información misional a las partes interesadas, entre ellos: Página web, correos institucionales (dependencias, servidores y contratistas)
Otros Medios: Emisora Unicauca, Televisión, periódicos y revistas.
Redes sociales:facebook, Twitter, Canal Youtube
Rendición de cuentas.</t>
  </si>
  <si>
    <t xml:space="preserve">Regula el uso de los medios de información y comunicación.
</t>
  </si>
  <si>
    <t xml:space="preserve">Se identifica el proceso responsable de la operación de los medios de comunicación institucional. </t>
  </si>
  <si>
    <t>La estructura organizacional, el Mapa de Procesos y el Manual de Funciones y competencias laborales  identifican responsabilidades para el manejo de la información.</t>
  </si>
  <si>
    <t>Valida los procesos que permiten el manejo de la información externa.</t>
  </si>
  <si>
    <t xml:space="preserve">Sin evidencia </t>
  </si>
  <si>
    <t xml:space="preserve">Los procedimientos se atemperan parcialmente, no existe una política y matriz de comunicación interna. Sin evidencia de realización de evaluación permanente que conduzca a determinar la efectividad de los canales de información externa.  </t>
  </si>
  <si>
    <t>Existe el documento PE-GS-2.2.1 OD-2 (Lvmen) contexto de la organización que identifica las partes interesadas.</t>
  </si>
  <si>
    <t xml:space="preserve">sin evidencia </t>
  </si>
  <si>
    <r>
      <rPr>
        <sz val="11"/>
        <rFont val="Arial Narrow"/>
        <family val="2"/>
      </rPr>
      <t>Sin documentar el análisis y las decisiones de mejora</t>
    </r>
    <r>
      <rPr>
        <sz val="11"/>
        <color rgb="FFFF0000"/>
        <rFont val="Arial Narrow"/>
        <family val="2"/>
      </rPr>
      <t xml:space="preserve">
</t>
    </r>
  </si>
  <si>
    <t xml:space="preserve">La guía de auditoría de la Universidad del Cauca define que el Plan de Acción propuesto por la Oficina de Control Interno será aprobado por el Comité Institucional de Gestión del
Desempeño y de Control Interno al iniciar la vigencia.
</t>
  </si>
  <si>
    <t>Existen mejoras en el monitoreo que desarrolla la segunda línea de defensa, y se debe fortalecer las metodologías y procedimientos  documentados.</t>
  </si>
  <si>
    <t>Los ejercicios de auditoría se priorizan  conforme al nivel de riesgo de los procesos, según lineamiento de la Guía de Auditoría PV-GC-26-OD-1 Versión:3</t>
  </si>
  <si>
    <t>Se realiza Evaluación y seguimiento semestral al sistema de PQRS y sus resultados se documentan en Informes, con plan de mejoramiento vigente (No.2.6-52.18/05 del 2019 ; No. 2.6-52.18/18 del 2019  y No. 2.6-52.18/04 de 2020).</t>
  </si>
  <si>
    <t>UNIVERSIDAD DEL CAUCA</t>
  </si>
  <si>
    <t>2020-II-CORTE DICIEMBRE</t>
  </si>
  <si>
    <t xml:space="preserve">
El Sistema de Control Interno aunque tiene desarrollo,  presenta en sus componentes que requieren acciones de fortalecemiento o mejora del diseño y /o ejecución, para logar la integración y operación del SCI satisfactoriamente,  Estos aspectos permanecen estáticos según el resultado de la evaluación del I periodo de la vigencia 2020. </t>
  </si>
  <si>
    <t xml:space="preserve">
El bajo desarrollo de algunos componentes del Sistema de Control Interno, hace vulnerable la efectividad de los controles frente al cumplimiento de los objetivos.</t>
  </si>
  <si>
    <t xml:space="preserve">.
El Sistema de Control Interno actualizó el Modelo Integrado de Planeación y Gestión donde precisa los roles y responsabilidad de los actores segun las lineas de defensa,  cuenta  con planes que soportan la gestión estratégica Institucional que a su vez se constituyen en insumo para las decisiones.   </t>
  </si>
  <si>
    <r>
      <t xml:space="preserve">Debilidades:
</t>
    </r>
    <r>
      <rPr>
        <sz val="12"/>
        <rFont val="Arial"/>
        <family val="2"/>
      </rPr>
      <t xml:space="preserve">No se encuentran definidos de mecanismos para el manejo de conflictos de interés, ni los mecanismos para detectar y prevenir el uso de información privilegiada que pueden implicar riesgos para la Universidad.
</t>
    </r>
    <r>
      <rPr>
        <b/>
        <sz val="12"/>
        <rFont val="Arial"/>
        <family val="2"/>
      </rPr>
      <t xml:space="preserve">
Fortalezas:
</t>
    </r>
    <r>
      <rPr>
        <sz val="12"/>
        <rFont val="Arial"/>
        <family val="2"/>
      </rPr>
      <t xml:space="preserve">
Adopción del MIPG, Actualización  del Comité Institucional de Gestión del Desempeño y de Control Interno, definición y documentación del esquema de líneas de defensa, aprobación del Programa de auditorías, existencia de canal de denuncias de actos de corrupción</t>
    </r>
    <r>
      <rPr>
        <b/>
        <sz val="12"/>
        <rFont val="Arial"/>
        <family val="2"/>
      </rPr>
      <t xml:space="preserve">, </t>
    </r>
    <r>
      <rPr>
        <sz val="12"/>
        <rFont val="Arial"/>
        <family val="2"/>
      </rPr>
      <t>estrategias de difusión sobre valores del servidor público</t>
    </r>
    <r>
      <rPr>
        <b/>
        <sz val="12"/>
        <rFont val="Arial"/>
        <family val="2"/>
      </rPr>
      <t>,</t>
    </r>
    <r>
      <rPr>
        <sz val="12"/>
        <rFont val="Arial"/>
        <family val="2"/>
      </rPr>
      <t xml:space="preserve"> aprobación de Política para la administración del riesgo, y medidas administrativas de impulso a los Planes de Mejoramiento. </t>
    </r>
  </si>
  <si>
    <r>
      <t xml:space="preserve">Debilidades: 
</t>
    </r>
    <r>
      <rPr>
        <sz val="12"/>
        <color theme="1"/>
        <rFont val="Arial"/>
        <family val="2"/>
      </rPr>
      <t xml:space="preserve">La administración del riesgo no ha logrado   posicionarse idealmente como punto de partida de la gestión estratégica y operativa de la Institución. 
</t>
    </r>
    <r>
      <rPr>
        <b/>
        <sz val="12"/>
        <color theme="1"/>
        <rFont val="Arial"/>
        <family val="2"/>
      </rPr>
      <t xml:space="preserve">Fortalezas: </t>
    </r>
    <r>
      <rPr>
        <sz val="12"/>
        <color theme="1"/>
        <rFont val="Arial"/>
        <family val="2"/>
      </rPr>
      <t xml:space="preserve">
Se cuenta con la política y la metodología para la Administración del Riesgo en la Universidad de Cauca, que se está socializando con los procesos y aplicando en el levantamiento de los riesgos.</t>
    </r>
  </si>
  <si>
    <r>
      <t xml:space="preserve">Debilidades: 
</t>
    </r>
    <r>
      <rPr>
        <sz val="12"/>
        <color theme="1"/>
        <rFont val="Arial"/>
        <family val="2"/>
      </rPr>
      <t>No se cuenta con la matriz de roles y usuarios que permitan la segregación de funciones para ejercer el control frente al fortalecimiento organizacional y simplificación de procesos.</t>
    </r>
    <r>
      <rPr>
        <b/>
        <sz val="12"/>
        <color theme="1"/>
        <rFont val="Arial"/>
        <family val="2"/>
      </rPr>
      <t xml:space="preserve"> 
Fortalezas:
</t>
    </r>
    <r>
      <rPr>
        <sz val="12"/>
        <color theme="1"/>
        <rFont val="Arial"/>
        <family val="2"/>
      </rPr>
      <t xml:space="preserve">La Universidad dispone de una metodología para la administración del riesgo adaptada al contexto institucional y acorde a los lineamientos gubernamentales y de los órganos certificadores. </t>
    </r>
    <r>
      <rPr>
        <b/>
        <sz val="12"/>
        <color theme="1"/>
        <rFont val="Arial"/>
        <family val="2"/>
      </rPr>
      <t xml:space="preserve">
</t>
    </r>
  </si>
  <si>
    <r>
      <rPr>
        <b/>
        <sz val="12"/>
        <color theme="1"/>
        <rFont val="Arial"/>
        <family val="2"/>
      </rPr>
      <t xml:space="preserve">Debilidades: 
</t>
    </r>
    <r>
      <rPr>
        <sz val="12"/>
        <color theme="1"/>
        <rFont val="Arial"/>
        <family val="2"/>
      </rPr>
      <t>Falta desarrollar los mecanismos para el análisis periódico de la caracterización de los grupos de valor y la evaluación de su percepción frente a la calidad de los servicios y cumplimiento de expectativas. 
No se cuenta con una matriz de flujo de información y comunicación interna y externa como insumo a la aplicación de controles. 
Los resultados de evaluación al sistema de PQRSF no son considerados en la toma de decisiones de mejoramiento de los procesos y la gestión por parte de la Dirección Universitaria.</t>
    </r>
    <r>
      <rPr>
        <b/>
        <sz val="12"/>
        <color theme="1"/>
        <rFont val="Arial"/>
        <family val="2"/>
      </rPr>
      <t xml:space="preserve"> 
Fortalezas: 
</t>
    </r>
    <r>
      <rPr>
        <sz val="12"/>
        <color theme="1"/>
        <rFont val="Arial"/>
        <family val="2"/>
      </rPr>
      <t xml:space="preserve">Se promueven canales de información internos para la denuncia de actos de corrupción, y externos para la comunicación con grupos de valor. 
Se desarrollan estrategias de promoción a los mecanismos de participación y control social. </t>
    </r>
  </si>
  <si>
    <r>
      <rPr>
        <b/>
        <sz val="12"/>
        <color theme="1"/>
        <rFont val="Arial"/>
        <family val="2"/>
      </rPr>
      <t>Debilidades:</t>
    </r>
    <r>
      <rPr>
        <sz val="12"/>
        <color theme="1"/>
        <rFont val="Arial"/>
        <family val="2"/>
      </rPr>
      <t xml:space="preserve"> 
Escasa apropiación de la cultura del autocontrol  respecto de la autoevaluación de los procesos y su impacto en el sistema de control interno. 
</t>
    </r>
    <r>
      <rPr>
        <b/>
        <sz val="12"/>
        <color theme="1"/>
        <rFont val="Arial"/>
        <family val="2"/>
      </rPr>
      <t xml:space="preserve">Fortalezas: 
</t>
    </r>
    <r>
      <rPr>
        <sz val="12"/>
        <color theme="1"/>
        <rFont val="Arial"/>
        <family val="2"/>
      </rPr>
      <t xml:space="preserve">Aprobación  y ejecución del Programa de auditorías, aplicación de acciones de mejoramiento resultantes de la evaluaciones  independientes externas. 
</t>
    </r>
    <r>
      <rPr>
        <sz val="12"/>
        <rFont val="Arial"/>
        <family val="2"/>
      </rPr>
      <t xml:space="preserve">
Las evaluaciones internas independientes impactan en la mejora de los procesos institucionales, a través de los planes de mejoramiento y las notas de control.</t>
    </r>
    <r>
      <rPr>
        <b/>
        <sz val="12"/>
        <color theme="1"/>
        <rFont val="Arial"/>
        <family val="2"/>
      </rPr>
      <t xml:space="preserve">
</t>
    </r>
    <r>
      <rPr>
        <sz val="12"/>
        <color theme="1"/>
        <rFont val="Arial"/>
        <family val="2"/>
      </rPr>
      <t xml:space="preserve">
</t>
    </r>
  </si>
  <si>
    <r>
      <t xml:space="preserve">
</t>
    </r>
    <r>
      <rPr>
        <b/>
        <u/>
        <sz val="12"/>
        <rFont val="Arial"/>
        <family val="2"/>
      </rPr>
      <t>Debilidades</t>
    </r>
    <r>
      <rPr>
        <b/>
        <sz val="12"/>
        <rFont val="Arial"/>
        <family val="2"/>
      </rPr>
      <t xml:space="preserve">: </t>
    </r>
    <r>
      <rPr>
        <sz val="12"/>
        <rFont val="Arial"/>
        <family val="2"/>
      </rPr>
      <t xml:space="preserve"> 
Persiste el bajo desarrollo de los mecanismos para el manejo de conflictos de interés, la detección y prevención del uso inadecuado de  información privilegiada u otras situaciones que puedan implicar riesgos para la Institución y la evaluación frente a los productos y servicios en los que participan los contratistas de apoyo.  Es representativo los elementos que requieren acciones para fortalecer o mejorar su diseño y/o ejecución. 
</t>
    </r>
    <r>
      <rPr>
        <b/>
        <u/>
        <sz val="12"/>
        <rFont val="Arial"/>
        <family val="2"/>
      </rPr>
      <t>Fortalezas</t>
    </r>
    <r>
      <rPr>
        <b/>
        <sz val="12"/>
        <rFont val="Arial"/>
        <family val="2"/>
      </rPr>
      <t xml:space="preserve">: </t>
    </r>
    <r>
      <rPr>
        <sz val="12"/>
        <rFont val="Arial"/>
        <family val="2"/>
      </rPr>
      <t xml:space="preserve">
Se aplican mecanismos para ejercer la adecuada supervisión del SCI (actualización del Comité Institucional de Coordinación de C.I, define y documenta el esquema de Líneas de defensa, y de reporte en temas claves para la toma de decisiones).</t>
    </r>
  </si>
  <si>
    <r>
      <rPr>
        <b/>
        <sz val="12"/>
        <rFont val="Arial"/>
        <family val="2"/>
      </rPr>
      <t xml:space="preserve">Debilidades: 
</t>
    </r>
    <r>
      <rPr>
        <sz val="12"/>
        <rFont val="Arial"/>
        <family val="2"/>
      </rPr>
      <t xml:space="preserve">
</t>
    </r>
    <r>
      <rPr>
        <sz val="12"/>
        <color theme="1"/>
        <rFont val="Arial"/>
        <family val="2"/>
      </rPr>
      <t xml:space="preserve">En la identificación y análisis de riesgos frente a los cambios significativos para sostenerlos o ajustarlos; para definir cursos de acción para la mejora,  y análisis del impacto sobre el C.I por cambios en los niveles organizacionales.   Es representativo los elementos que requieren acciones dirigidas a fortalecer o mejorar su diseño y/o ejecución.
</t>
    </r>
    <r>
      <rPr>
        <b/>
        <u/>
        <sz val="12"/>
        <color theme="1"/>
        <rFont val="Arial"/>
        <family val="2"/>
      </rPr>
      <t xml:space="preserve">Fortalezas:
</t>
    </r>
    <r>
      <rPr>
        <sz val="12"/>
        <color theme="1"/>
        <rFont val="Arial"/>
        <family val="2"/>
      </rPr>
      <t xml:space="preserve">
La actualización del mapa de riesgos frente a los eventos de riesgo  materializados </t>
    </r>
  </si>
  <si>
    <r>
      <rPr>
        <b/>
        <u/>
        <sz val="12"/>
        <color theme="1"/>
        <rFont val="Arial"/>
        <family val="2"/>
      </rPr>
      <t xml:space="preserve">Debilidades:
</t>
    </r>
    <r>
      <rPr>
        <sz val="12"/>
        <color theme="1"/>
        <rFont val="Arial"/>
        <family val="2"/>
      </rPr>
      <t xml:space="preserve">
Respecto de los controles a la infraestructura tecnológica, procesos de gestión de la seguridad, adquisición, desarrollo y mantenimiento de tecnologias.   Es representativo los elementos que requieren acciones dirigidas a fortalecer o mejorar su diseño y/o ejecución.
</t>
    </r>
    <r>
      <rPr>
        <u/>
        <sz val="12"/>
        <color theme="1"/>
        <rFont val="Arial"/>
        <family val="2"/>
      </rPr>
      <t xml:space="preserve">
</t>
    </r>
    <r>
      <rPr>
        <b/>
        <u/>
        <sz val="12"/>
        <color theme="1"/>
        <rFont val="Arial"/>
        <family val="2"/>
      </rPr>
      <t>Fortalezas:</t>
    </r>
    <r>
      <rPr>
        <sz val="12"/>
        <color theme="1"/>
        <rFont val="Arial"/>
        <family val="2"/>
      </rPr>
      <t xml:space="preserve">  No se determinaron</t>
    </r>
  </si>
  <si>
    <r>
      <rPr>
        <b/>
        <u/>
        <sz val="12"/>
        <color theme="1"/>
        <rFont val="Arial"/>
        <family val="2"/>
      </rPr>
      <t xml:space="preserve">Debilidades:
</t>
    </r>
    <r>
      <rPr>
        <u/>
        <sz val="12"/>
        <color theme="1"/>
        <rFont val="Arial"/>
        <family val="2"/>
      </rPr>
      <t xml:space="preserve">
</t>
    </r>
    <r>
      <rPr>
        <sz val="12"/>
        <color theme="1"/>
        <rFont val="Arial"/>
        <family val="2"/>
      </rPr>
      <t xml:space="preserve">Sin inventario de información relevante interna y externa y  sin actualización de la caracterización de usuarios o grupos de valor y frente a la evaluación de su percepción.   Es representativo los elementos que requieren acciones dirigidas a fortalecer o mejorar su diseño y/o ejecución.
</t>
    </r>
    <r>
      <rPr>
        <b/>
        <u/>
        <sz val="12"/>
        <color theme="1"/>
        <rFont val="Arial"/>
        <family val="2"/>
      </rPr>
      <t xml:space="preserve">Fortalezas:
</t>
    </r>
    <r>
      <rPr>
        <sz val="12"/>
        <color theme="1"/>
        <rFont val="Arial"/>
        <family val="2"/>
      </rPr>
      <t xml:space="preserve">
Existencia de diversos canales de información internos  para denuncias de posibles situaciones irregulares y cuenta con mecanismos para su manejo. Facilita las lineas de comunicación con los grupos de valor y con terceros externos interesados. 
</t>
    </r>
  </si>
  <si>
    <r>
      <rPr>
        <b/>
        <u/>
        <sz val="12"/>
        <color theme="1"/>
        <rFont val="Arial"/>
        <family val="2"/>
      </rPr>
      <t>Debilidades</t>
    </r>
    <r>
      <rPr>
        <b/>
        <sz val="12"/>
        <color theme="1"/>
        <rFont val="Arial"/>
        <family val="2"/>
      </rPr>
      <t xml:space="preserve">:
</t>
    </r>
    <r>
      <rPr>
        <sz val="12"/>
        <color theme="1"/>
        <rFont val="Arial"/>
        <family val="2"/>
      </rPr>
      <t xml:space="preserve">
Sin identificar elementos que no se encuentren presentes y por tanto sin funcionar;  pero si se requiere acciones dirigidas a fortalecer o mejorar su diseño y/o ejecución.
</t>
    </r>
    <r>
      <rPr>
        <b/>
        <u/>
        <sz val="12"/>
        <color theme="1"/>
        <rFont val="Arial"/>
        <family val="2"/>
      </rPr>
      <t xml:space="preserve">Fortalezas:
</t>
    </r>
    <r>
      <rPr>
        <sz val="12"/>
        <color theme="1"/>
        <rFont val="Arial"/>
        <family val="2"/>
      </rPr>
      <t xml:space="preserve">
Existencia de un plan de auditoría aprobado.
Las evaluaciones independientes son periódicas y se basan en el análisis de riesgos.
Considera las evaluaciones externas como insumo, comunica las deficiencias y monitorea las medidas correctivas.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</si>
</sst>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d/mm/yyyy;@"/>
    <numFmt numFmtId="165" formatCode="0.000"/>
    <numFmt numFmtId="166" formatCode="0.0000"/>
    <numFmt numFmtId="167" formatCode="0.00000"/>
    <numFmt numFmtId="168" formatCode="0.000000"/>
  </numFmts>
  <fonts count="67" x14ac:knownFonts="1">
    <font>
      <sz val="10"/>
      <color theme="1"/>
      <name val="Arial"/>
      <family val="2"/>
    </font>
    <font>
      <b/>
      <sz val="10"/>
      <color theme="1"/>
      <name val="Arial"/>
      <family val="2"/>
    </font>
    <font>
      <b/>
      <sz val="10"/>
      <color indexed="18"/>
      <name val="Arial"/>
      <family val="2"/>
    </font>
    <font>
      <u/>
      <sz val="10"/>
      <color theme="10"/>
      <name val="Arial"/>
      <family val="2"/>
    </font>
    <font>
      <sz val="10"/>
      <name val="Arial"/>
      <family val="2"/>
    </font>
    <font>
      <b/>
      <i/>
      <sz val="10"/>
      <name val="Arial"/>
      <family val="2"/>
    </font>
    <font>
      <b/>
      <sz val="12"/>
      <color theme="0"/>
      <name val="Arial"/>
      <family val="2"/>
    </font>
    <font>
      <b/>
      <sz val="12"/>
      <name val="Arial"/>
      <family val="2"/>
    </font>
    <font>
      <sz val="10"/>
      <color theme="1"/>
      <name val="Calibri"/>
      <family val="2"/>
      <scheme val="minor"/>
    </font>
    <font>
      <b/>
      <i/>
      <sz val="10"/>
      <color theme="1"/>
      <name val="Arial"/>
      <family val="2"/>
    </font>
    <font>
      <sz val="12"/>
      <name val="Times New Roman"/>
      <family val="1"/>
    </font>
    <font>
      <sz val="10"/>
      <name val="Arial Narrow"/>
      <family val="2"/>
    </font>
    <font>
      <b/>
      <sz val="14"/>
      <name val="Arial Narrow"/>
      <family val="2"/>
    </font>
    <font>
      <b/>
      <u/>
      <sz val="11"/>
      <name val="Arial Narrow"/>
      <family val="2"/>
    </font>
    <font>
      <b/>
      <sz val="10"/>
      <name val="Arial Narrow"/>
      <family val="2"/>
    </font>
    <font>
      <b/>
      <sz val="11"/>
      <name val="Arial Narrow"/>
      <family val="2"/>
    </font>
    <font>
      <b/>
      <sz val="9"/>
      <name val="Arial Narrow"/>
      <family val="2"/>
    </font>
    <font>
      <b/>
      <i/>
      <u/>
      <sz val="9"/>
      <name val="Arial Narrow"/>
      <family val="2"/>
    </font>
    <font>
      <sz val="9"/>
      <name val="Arial Narrow"/>
      <family val="2"/>
    </font>
    <font>
      <sz val="11"/>
      <name val="Arial Narrow"/>
      <family val="2"/>
    </font>
    <font>
      <sz val="12"/>
      <color theme="1" tint="0.34998626667073579"/>
      <name val="Arial Narrow"/>
      <family val="2"/>
    </font>
    <font>
      <sz val="11"/>
      <color theme="1"/>
      <name val="Arial Narrow"/>
      <family val="2"/>
    </font>
    <font>
      <b/>
      <sz val="11"/>
      <color theme="1"/>
      <name val="Arial Narrow"/>
      <family val="2"/>
    </font>
    <font>
      <u/>
      <sz val="11"/>
      <color theme="10"/>
      <name val="Arial Narrow"/>
      <family val="2"/>
    </font>
    <font>
      <b/>
      <sz val="11"/>
      <color theme="0"/>
      <name val="Arial Narrow"/>
      <family val="2"/>
    </font>
    <font>
      <sz val="11"/>
      <color theme="0"/>
      <name val="Arial Narrow"/>
      <family val="2"/>
    </font>
    <font>
      <b/>
      <u/>
      <sz val="11"/>
      <color theme="0"/>
      <name val="Arial Narrow"/>
      <family val="2"/>
    </font>
    <font>
      <i/>
      <sz val="11"/>
      <color theme="0"/>
      <name val="Arial Narrow"/>
      <family val="2"/>
    </font>
    <font>
      <b/>
      <sz val="11"/>
      <color theme="1" tint="0.249977111117893"/>
      <name val="Arial Narrow"/>
      <family val="2"/>
    </font>
    <font>
      <b/>
      <sz val="10"/>
      <color theme="1"/>
      <name val="Arial Narrow"/>
      <family val="2"/>
    </font>
    <font>
      <sz val="10"/>
      <color theme="1"/>
      <name val="Arial Narrow"/>
      <family val="2"/>
    </font>
    <font>
      <b/>
      <i/>
      <sz val="10"/>
      <color theme="1"/>
      <name val="Arial Narrow"/>
      <family val="2"/>
    </font>
    <font>
      <b/>
      <sz val="12"/>
      <color theme="0"/>
      <name val="Arial Narrow"/>
      <family val="2"/>
    </font>
    <font>
      <b/>
      <sz val="10"/>
      <color theme="0"/>
      <name val="Arial Narrow"/>
      <family val="2"/>
    </font>
    <font>
      <b/>
      <sz val="16"/>
      <color theme="0"/>
      <name val="Arial Narrow"/>
      <family val="2"/>
    </font>
    <font>
      <sz val="10"/>
      <color rgb="FFFF0000"/>
      <name val="Arial"/>
      <family val="2"/>
    </font>
    <font>
      <sz val="10"/>
      <color theme="0"/>
      <name val="Arial Narrow"/>
      <family val="2"/>
    </font>
    <font>
      <sz val="10"/>
      <color rgb="FFFF0000"/>
      <name val="Arial Narrow"/>
      <family val="2"/>
    </font>
    <font>
      <b/>
      <sz val="10"/>
      <color rgb="FFFF0000"/>
      <name val="Arial"/>
      <family val="2"/>
    </font>
    <font>
      <b/>
      <sz val="12"/>
      <color rgb="FFFF0000"/>
      <name val="Arial"/>
      <family val="2"/>
    </font>
    <font>
      <sz val="10"/>
      <color theme="1"/>
      <name val="Arial"/>
      <family val="2"/>
    </font>
    <font>
      <b/>
      <sz val="18"/>
      <color theme="0"/>
      <name val="Arial"/>
      <family val="2"/>
    </font>
    <font>
      <b/>
      <sz val="22"/>
      <color theme="1"/>
      <name val="Arial Narrow"/>
      <family val="2"/>
    </font>
    <font>
      <sz val="20"/>
      <color rgb="FFFF0000"/>
      <name val="Arial"/>
      <family val="2"/>
    </font>
    <font>
      <b/>
      <sz val="16"/>
      <color theme="1"/>
      <name val="Arial"/>
      <family val="2"/>
    </font>
    <font>
      <b/>
      <sz val="12"/>
      <name val="Arial Narrow"/>
      <family val="2"/>
    </font>
    <font>
      <b/>
      <sz val="16"/>
      <name val="Arial Narrow"/>
      <family val="2"/>
    </font>
    <font>
      <sz val="20"/>
      <color theme="1"/>
      <name val="Arial Narrow"/>
      <family val="2"/>
    </font>
    <font>
      <sz val="20"/>
      <color theme="0"/>
      <name val="Arial Narrow"/>
      <family val="2"/>
    </font>
    <font>
      <b/>
      <sz val="20"/>
      <color theme="0"/>
      <name val="Arial Narrow"/>
      <family val="2"/>
    </font>
    <font>
      <b/>
      <sz val="14"/>
      <color theme="0"/>
      <name val="Arial Narrow"/>
      <family val="2"/>
    </font>
    <font>
      <b/>
      <u/>
      <sz val="12"/>
      <color theme="0"/>
      <name val="Arial"/>
      <family val="2"/>
    </font>
    <font>
      <sz val="18"/>
      <color theme="1"/>
      <name val="Arial"/>
      <family val="2"/>
    </font>
    <font>
      <sz val="11"/>
      <color rgb="FFFF0000"/>
      <name val="Arial Narrow"/>
      <family val="2"/>
    </font>
    <font>
      <b/>
      <sz val="11"/>
      <color rgb="FFFF0000"/>
      <name val="Arial Narrow"/>
      <family val="2"/>
    </font>
    <font>
      <sz val="25"/>
      <color theme="1"/>
      <name val="Arial"/>
      <family val="2"/>
    </font>
    <font>
      <sz val="11"/>
      <color rgb="FF002060"/>
      <name val="Arial Narrow"/>
      <family val="2"/>
    </font>
    <font>
      <sz val="12"/>
      <name val="Arial"/>
      <family val="2"/>
    </font>
    <font>
      <sz val="12"/>
      <color theme="1"/>
      <name val="Arial"/>
      <family val="2"/>
    </font>
    <font>
      <u/>
      <sz val="12"/>
      <color theme="1"/>
      <name val="Arial"/>
      <family val="2"/>
    </font>
    <font>
      <b/>
      <sz val="12"/>
      <color theme="1"/>
      <name val="Arial"/>
      <family val="2"/>
    </font>
    <font>
      <b/>
      <u/>
      <sz val="12"/>
      <name val="Arial"/>
      <family val="2"/>
    </font>
    <font>
      <b/>
      <u/>
      <sz val="12"/>
      <color theme="1"/>
      <name val="Arial"/>
      <family val="2"/>
    </font>
    <font>
      <sz val="14"/>
      <color theme="1"/>
      <name val="Arial"/>
      <family val="2"/>
    </font>
    <font>
      <b/>
      <sz val="20"/>
      <name val="Arial"/>
      <family val="2"/>
    </font>
    <font>
      <sz val="16"/>
      <color theme="1"/>
      <name val="Arial Narrow"/>
      <family val="2"/>
    </font>
    <font>
      <b/>
      <sz val="11"/>
      <name val="Arial"/>
      <family val="2"/>
    </font>
  </fonts>
  <fills count="2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indexed="51"/>
        <bgColor indexed="64"/>
      </patternFill>
    </fill>
    <fill>
      <patternFill patternType="solid">
        <fgColor rgb="FF83A343"/>
        <bgColor indexed="64"/>
      </patternFill>
    </fill>
    <fill>
      <patternFill patternType="solid">
        <fgColor rgb="FFFFCC00"/>
        <bgColor indexed="64"/>
      </patternFill>
    </fill>
    <fill>
      <patternFill patternType="solid">
        <fgColor theme="7" tint="-0.249977111117893"/>
        <bgColor indexed="64"/>
      </patternFill>
    </fill>
    <fill>
      <patternFill patternType="solid">
        <fgColor rgb="FF2E3917"/>
        <bgColor indexed="64"/>
      </patternFill>
    </fill>
    <fill>
      <patternFill patternType="lightTrellis">
        <fgColor theme="0" tint="-0.14996795556505021"/>
        <bgColor theme="0"/>
      </patternFill>
    </fill>
    <fill>
      <patternFill patternType="solid">
        <fgColor theme="4" tint="0.79998168889431442"/>
        <bgColor indexed="64"/>
      </patternFill>
    </fill>
    <fill>
      <patternFill patternType="solid">
        <fgColor theme="6" tint="-0.499984740745262"/>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4" tint="-0.249977111117893"/>
        <bgColor indexed="64"/>
      </patternFill>
    </fill>
    <fill>
      <patternFill patternType="solid">
        <fgColor theme="3" tint="0.59999389629810485"/>
        <bgColor indexed="64"/>
      </patternFill>
    </fill>
    <fill>
      <patternFill patternType="solid">
        <fgColor theme="2" tint="-0.249977111117893"/>
        <bgColor indexed="64"/>
      </patternFill>
    </fill>
  </fills>
  <borders count="1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auto="1"/>
      </top>
      <bottom/>
      <diagonal/>
    </border>
    <border>
      <left style="hair">
        <color auto="1"/>
      </left>
      <right/>
      <top style="hair">
        <color auto="1"/>
      </top>
      <bottom style="hair">
        <color auto="1"/>
      </bottom>
      <diagonal/>
    </border>
    <border>
      <left style="double">
        <color indexed="64"/>
      </left>
      <right/>
      <top style="double">
        <color indexed="64"/>
      </top>
      <bottom/>
      <diagonal/>
    </border>
    <border>
      <left/>
      <right style="thin">
        <color theme="0"/>
      </right>
      <top style="double">
        <color indexed="64"/>
      </top>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double">
        <color indexed="64"/>
      </right>
      <top style="hair">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style="hair">
        <color rgb="FF81829A"/>
      </left>
      <right style="hair">
        <color rgb="FF81829A"/>
      </right>
      <top style="hair">
        <color rgb="FF81829A"/>
      </top>
      <bottom style="hair">
        <color rgb="FF81829A"/>
      </bottom>
      <diagonal/>
    </border>
    <border>
      <left style="thin">
        <color rgb="FF81829A"/>
      </left>
      <right style="thin">
        <color rgb="FF81829A"/>
      </right>
      <top style="thin">
        <color rgb="FF81829A"/>
      </top>
      <bottom style="thin">
        <color rgb="FF81829A"/>
      </bottom>
      <diagonal/>
    </border>
    <border>
      <left style="hair">
        <color rgb="FF81829A"/>
      </left>
      <right/>
      <top style="hair">
        <color rgb="FF81829A"/>
      </top>
      <bottom style="thin">
        <color rgb="FF81829A"/>
      </bottom>
      <diagonal/>
    </border>
    <border>
      <left/>
      <right style="hair">
        <color rgb="FF81829A"/>
      </right>
      <top style="hair">
        <color rgb="FF81829A"/>
      </top>
      <bottom style="hair">
        <color rgb="FF81829A"/>
      </bottom>
      <diagonal/>
    </border>
    <border>
      <left/>
      <right style="hair">
        <color rgb="FF81829A"/>
      </right>
      <top style="hair">
        <color rgb="FF81829A"/>
      </top>
      <bottom style="thin">
        <color rgb="FF81829A"/>
      </bottom>
      <diagonal/>
    </border>
    <border>
      <left style="thin">
        <color rgb="FF81829A"/>
      </left>
      <right/>
      <top style="hair">
        <color rgb="FF81829A"/>
      </top>
      <bottom style="hair">
        <color rgb="FF81829A"/>
      </bottom>
      <diagonal/>
    </border>
    <border>
      <left style="thin">
        <color rgb="FF81829A"/>
      </left>
      <right/>
      <top style="hair">
        <color rgb="FF81829A"/>
      </top>
      <bottom style="thin">
        <color rgb="FF81829A"/>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ouble">
        <color indexed="64"/>
      </left>
      <right style="hair">
        <color indexed="64"/>
      </right>
      <top style="hair">
        <color indexed="64"/>
      </top>
      <bottom/>
      <diagonal/>
    </border>
    <border>
      <left style="double">
        <color indexed="64"/>
      </left>
      <right style="hair">
        <color indexed="64"/>
      </right>
      <top/>
      <bottom/>
      <diagonal/>
    </border>
    <border>
      <left style="thin">
        <color indexed="64"/>
      </left>
      <right style="thin">
        <color indexed="64"/>
      </right>
      <top style="medium">
        <color indexed="64"/>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theme="0"/>
      </left>
      <right style="thin">
        <color theme="0"/>
      </right>
      <top/>
      <bottom style="thin">
        <color theme="0"/>
      </bottom>
      <diagonal/>
    </border>
    <border>
      <left style="dashed">
        <color indexed="64"/>
      </left>
      <right style="dashed">
        <color indexed="64"/>
      </right>
      <top style="dashed">
        <color indexed="64"/>
      </top>
      <bottom style="dashed">
        <color indexed="64"/>
      </bottom>
      <diagonal/>
    </border>
    <border>
      <left/>
      <right style="thin">
        <color indexed="64"/>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medium">
        <color indexed="64"/>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ashed">
        <color indexed="64"/>
      </top>
      <bottom/>
      <diagonal/>
    </border>
    <border>
      <left style="dotted">
        <color indexed="64"/>
      </left>
      <right/>
      <top style="medium">
        <color indexed="64"/>
      </top>
      <bottom style="dotted">
        <color indexed="64"/>
      </bottom>
      <diagonal/>
    </border>
    <border>
      <left style="dotted">
        <color indexed="64"/>
      </left>
      <right/>
      <top/>
      <bottom style="dotted">
        <color indexed="64"/>
      </bottom>
      <diagonal/>
    </border>
    <border>
      <left style="hair">
        <color indexed="64"/>
      </left>
      <right style="thin">
        <color indexed="64"/>
      </right>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style="medium">
        <color indexed="64"/>
      </top>
      <bottom/>
      <diagonal/>
    </border>
    <border>
      <left style="hair">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dotted">
        <color indexed="64"/>
      </left>
      <right style="dotted">
        <color indexed="64"/>
      </right>
      <top/>
      <bottom style="dotted">
        <color indexed="64"/>
      </bottom>
      <diagonal/>
    </border>
    <border>
      <left style="dotted">
        <color indexed="64"/>
      </left>
      <right/>
      <top style="dotted">
        <color indexed="64"/>
      </top>
      <bottom style="medium">
        <color indexed="64"/>
      </bottom>
      <diagonal/>
    </border>
    <border>
      <left style="hair">
        <color indexed="64"/>
      </left>
      <right/>
      <top/>
      <bottom style="hair">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s>
  <cellStyleXfs count="7">
    <xf numFmtId="0" fontId="0" fillId="0" borderId="0"/>
    <xf numFmtId="0" fontId="2" fillId="4" borderId="0"/>
    <xf numFmtId="0" fontId="3" fillId="0" borderId="0" applyNumberFormat="0" applyFill="0" applyBorder="0" applyAlignment="0" applyProtection="0">
      <alignment vertical="top"/>
      <protection locked="0"/>
    </xf>
    <xf numFmtId="0" fontId="8" fillId="0" borderId="0"/>
    <xf numFmtId="0" fontId="4" fillId="0" borderId="0"/>
    <xf numFmtId="0" fontId="10" fillId="0" borderId="0"/>
    <xf numFmtId="9" fontId="40" fillId="0" borderId="0" applyFont="0" applyFill="0" applyBorder="0" applyAlignment="0" applyProtection="0"/>
  </cellStyleXfs>
  <cellXfs count="758">
    <xf numFmtId="0" fontId="0" fillId="0" borderId="0" xfId="0"/>
    <xf numFmtId="0" fontId="6" fillId="0" borderId="0" xfId="0" applyFont="1" applyFill="1" applyBorder="1" applyAlignment="1">
      <alignment vertical="center"/>
    </xf>
    <xf numFmtId="0" fontId="7" fillId="0" borderId="0" xfId="0" applyFont="1" applyFill="1" applyBorder="1" applyAlignment="1">
      <alignment horizontal="center" vertical="center" wrapText="1"/>
    </xf>
    <xf numFmtId="0" fontId="0" fillId="0" borderId="0" xfId="0" applyBorder="1"/>
    <xf numFmtId="0" fontId="0" fillId="0" borderId="0" xfId="0" applyFill="1" applyBorder="1"/>
    <xf numFmtId="0" fontId="0" fillId="0" borderId="0" xfId="0" applyBorder="1" applyAlignment="1">
      <alignment horizontal="center"/>
    </xf>
    <xf numFmtId="0" fontId="0" fillId="0" borderId="0" xfId="0" applyBorder="1" applyAlignment="1">
      <alignment horizontal="left"/>
    </xf>
    <xf numFmtId="0" fontId="11" fillId="0" borderId="0" xfId="4" applyFont="1" applyProtection="1"/>
    <xf numFmtId="0" fontId="11" fillId="0" borderId="32" xfId="4" applyFont="1" applyBorder="1" applyProtection="1"/>
    <xf numFmtId="0" fontId="14" fillId="0" borderId="0" xfId="4" applyFont="1" applyBorder="1" applyAlignment="1" applyProtection="1">
      <alignment horizontal="left" vertical="center" wrapText="1"/>
    </xf>
    <xf numFmtId="0" fontId="11" fillId="0" borderId="0" xfId="4" applyFont="1" applyBorder="1" applyAlignment="1" applyProtection="1">
      <alignment horizontal="left" vertical="center" wrapText="1"/>
    </xf>
    <xf numFmtId="0" fontId="11" fillId="0" borderId="0" xfId="4" quotePrefix="1" applyFont="1" applyFill="1" applyBorder="1" applyAlignment="1" applyProtection="1">
      <alignment horizontal="left" vertical="center" wrapText="1"/>
    </xf>
    <xf numFmtId="0" fontId="16"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left" vertical="top" wrapText="1"/>
    </xf>
    <xf numFmtId="0" fontId="16" fillId="0" borderId="0" xfId="5" applyFont="1" applyFill="1" applyBorder="1" applyAlignment="1" applyProtection="1">
      <alignment horizontal="left" vertical="top" wrapText="1" readingOrder="1"/>
    </xf>
    <xf numFmtId="0" fontId="21" fillId="2" borderId="0" xfId="0" applyFont="1" applyFill="1"/>
    <xf numFmtId="1" fontId="21" fillId="2" borderId="0" xfId="0" applyNumberFormat="1" applyFont="1" applyFill="1" applyBorder="1" applyAlignment="1">
      <alignment horizontal="center" vertical="center"/>
    </xf>
    <xf numFmtId="0" fontId="21" fillId="2" borderId="0" xfId="0" applyFont="1" applyFill="1" applyBorder="1" applyAlignment="1">
      <alignment horizontal="justify" vertical="center" wrapText="1"/>
    </xf>
    <xf numFmtId="0" fontId="21" fillId="2" borderId="0" xfId="0" applyFont="1" applyFill="1" applyBorder="1"/>
    <xf numFmtId="0" fontId="16" fillId="2" borderId="12" xfId="0" applyFont="1" applyFill="1" applyBorder="1" applyAlignment="1" applyProtection="1">
      <alignment vertical="center"/>
    </xf>
    <xf numFmtId="0" fontId="23" fillId="2" borderId="0" xfId="2" applyFont="1" applyFill="1" applyAlignment="1" applyProtection="1">
      <alignment horizontal="center" vertical="center"/>
    </xf>
    <xf numFmtId="0" fontId="24" fillId="2" borderId="0" xfId="0" applyFont="1" applyFill="1" applyAlignment="1">
      <alignment horizontal="center" vertical="center"/>
    </xf>
    <xf numFmtId="0" fontId="24" fillId="0" borderId="0" xfId="0" applyFont="1" applyFill="1" applyAlignment="1" applyProtection="1">
      <alignment vertical="center" wrapText="1"/>
      <protection locked="0"/>
    </xf>
    <xf numFmtId="0" fontId="21" fillId="0" borderId="0" xfId="0" applyFont="1"/>
    <xf numFmtId="0" fontId="21" fillId="0" borderId="10" xfId="0" applyFont="1" applyFill="1" applyBorder="1" applyAlignment="1">
      <alignment horizontal="left" vertical="center" wrapText="1"/>
    </xf>
    <xf numFmtId="0" fontId="21" fillId="0" borderId="29" xfId="0" applyFont="1" applyFill="1" applyBorder="1" applyAlignment="1">
      <alignment horizontal="left" vertical="center" wrapText="1"/>
    </xf>
    <xf numFmtId="0" fontId="21" fillId="0" borderId="13" xfId="0" applyFont="1" applyFill="1" applyBorder="1" applyAlignment="1">
      <alignment horizontal="left" vertical="center" wrapText="1"/>
    </xf>
    <xf numFmtId="0" fontId="21" fillId="0" borderId="0" xfId="0" applyFont="1" applyAlignment="1">
      <alignment vertical="center"/>
    </xf>
    <xf numFmtId="0" fontId="28" fillId="12" borderId="30" xfId="0" applyFont="1" applyFill="1" applyBorder="1" applyAlignment="1">
      <alignment horizontal="center" vertical="center" wrapText="1"/>
    </xf>
    <xf numFmtId="0" fontId="28" fillId="12" borderId="31" xfId="0" applyFont="1" applyFill="1" applyBorder="1" applyAlignment="1">
      <alignment horizontal="center" vertical="center" wrapText="1"/>
    </xf>
    <xf numFmtId="0" fontId="0" fillId="2" borderId="54" xfId="0" applyFill="1" applyBorder="1"/>
    <xf numFmtId="0" fontId="0" fillId="2" borderId="55" xfId="0" applyFill="1" applyBorder="1"/>
    <xf numFmtId="0" fontId="0" fillId="2" borderId="56" xfId="0" applyFill="1" applyBorder="1"/>
    <xf numFmtId="0" fontId="0" fillId="2" borderId="57" xfId="0" applyFill="1" applyBorder="1"/>
    <xf numFmtId="0" fontId="0" fillId="2" borderId="0" xfId="0" applyFill="1" applyBorder="1"/>
    <xf numFmtId="0" fontId="0" fillId="2" borderId="58" xfId="0" applyFill="1" applyBorder="1"/>
    <xf numFmtId="0" fontId="7" fillId="2" borderId="32" xfId="0" applyFont="1" applyFill="1" applyBorder="1" applyAlignment="1">
      <alignment horizontal="center" vertical="center"/>
    </xf>
    <xf numFmtId="0" fontId="7" fillId="2" borderId="58" xfId="0" applyFont="1" applyFill="1" applyBorder="1" applyAlignment="1">
      <alignment vertical="center"/>
    </xf>
    <xf numFmtId="0" fontId="6" fillId="2" borderId="0" xfId="0" applyFont="1" applyFill="1" applyBorder="1" applyAlignment="1">
      <alignment vertical="center"/>
    </xf>
    <xf numFmtId="0" fontId="7" fillId="2" borderId="0" xfId="0" applyFont="1" applyFill="1" applyBorder="1" applyAlignment="1">
      <alignment vertical="center"/>
    </xf>
    <xf numFmtId="0" fontId="7" fillId="2" borderId="0" xfId="0" applyFont="1" applyFill="1" applyBorder="1" applyAlignment="1">
      <alignment horizontal="center" vertical="center"/>
    </xf>
    <xf numFmtId="0" fontId="7" fillId="2" borderId="0" xfId="0" applyFont="1" applyFill="1" applyBorder="1" applyAlignment="1">
      <alignment horizontal="left" vertical="center"/>
    </xf>
    <xf numFmtId="0" fontId="5" fillId="2" borderId="0" xfId="0" applyFont="1" applyFill="1" applyBorder="1" applyAlignment="1">
      <alignment vertical="center"/>
    </xf>
    <xf numFmtId="0" fontId="9" fillId="2" borderId="0" xfId="0" applyFont="1" applyFill="1" applyBorder="1"/>
    <xf numFmtId="0" fontId="0" fillId="2" borderId="59" xfId="0" applyFill="1" applyBorder="1"/>
    <xf numFmtId="0" fontId="0" fillId="2" borderId="60" xfId="0" applyFill="1" applyBorder="1"/>
    <xf numFmtId="0" fontId="0" fillId="2" borderId="61" xfId="0" applyFill="1" applyBorder="1"/>
    <xf numFmtId="0" fontId="0" fillId="2" borderId="0" xfId="0" applyFill="1"/>
    <xf numFmtId="0" fontId="1" fillId="2" borderId="0" xfId="0" applyFont="1" applyFill="1" applyAlignment="1">
      <alignment wrapText="1"/>
    </xf>
    <xf numFmtId="0" fontId="18" fillId="2" borderId="12" xfId="0" applyFont="1" applyFill="1" applyBorder="1" applyAlignment="1" applyProtection="1">
      <alignment vertical="center" wrapText="1"/>
    </xf>
    <xf numFmtId="1" fontId="30" fillId="2" borderId="0" xfId="3" applyNumberFormat="1" applyFont="1" applyFill="1" applyAlignment="1" applyProtection="1">
      <alignment vertical="center"/>
      <protection locked="0"/>
    </xf>
    <xf numFmtId="49" fontId="30" fillId="2" borderId="0" xfId="3" applyNumberFormat="1" applyFont="1" applyFill="1" applyAlignment="1" applyProtection="1">
      <alignment vertical="center"/>
      <protection locked="0"/>
    </xf>
    <xf numFmtId="0" fontId="30" fillId="2" borderId="0" xfId="3" applyFont="1" applyFill="1" applyAlignment="1" applyProtection="1">
      <alignment vertical="center"/>
      <protection locked="0"/>
    </xf>
    <xf numFmtId="0" fontId="32" fillId="2" borderId="0" xfId="0" applyFont="1" applyFill="1" applyAlignment="1" applyProtection="1">
      <alignment vertical="center" wrapText="1"/>
      <protection locked="0"/>
    </xf>
    <xf numFmtId="0" fontId="30" fillId="2" borderId="0" xfId="0" applyFont="1" applyFill="1"/>
    <xf numFmtId="0" fontId="25" fillId="2" borderId="0" xfId="0" applyFont="1" applyFill="1" applyBorder="1"/>
    <xf numFmtId="0" fontId="31" fillId="2" borderId="84" xfId="3" applyFont="1" applyFill="1" applyBorder="1" applyAlignment="1" applyProtection="1">
      <alignment horizontal="center" vertical="center" wrapText="1"/>
    </xf>
    <xf numFmtId="0" fontId="31" fillId="2" borderId="86" xfId="3" applyFont="1" applyFill="1" applyBorder="1" applyAlignment="1" applyProtection="1">
      <alignment horizontal="center" vertical="center" wrapText="1"/>
    </xf>
    <xf numFmtId="0" fontId="25" fillId="2" borderId="0" xfId="0" applyFont="1" applyFill="1"/>
    <xf numFmtId="0" fontId="0" fillId="0" borderId="1" xfId="0" applyBorder="1"/>
    <xf numFmtId="0" fontId="7" fillId="0" borderId="73" xfId="0" applyFont="1" applyFill="1" applyBorder="1" applyAlignment="1">
      <alignment vertical="center"/>
    </xf>
    <xf numFmtId="0" fontId="0" fillId="0" borderId="73" xfId="0" applyBorder="1"/>
    <xf numFmtId="0" fontId="30" fillId="2" borderId="1" xfId="3" applyFont="1" applyFill="1" applyBorder="1" applyAlignment="1" applyProtection="1">
      <alignment vertical="center"/>
      <protection locked="0"/>
    </xf>
    <xf numFmtId="9" fontId="7" fillId="0" borderId="0" xfId="0" applyNumberFormat="1" applyFont="1" applyFill="1" applyBorder="1" applyAlignment="1">
      <alignment vertical="center"/>
    </xf>
    <xf numFmtId="0" fontId="39" fillId="2" borderId="0" xfId="0" applyFont="1" applyFill="1" applyBorder="1" applyAlignment="1">
      <alignment horizontal="center" vertical="center" wrapText="1"/>
    </xf>
    <xf numFmtId="0" fontId="25" fillId="2" borderId="0" xfId="0" applyFont="1" applyFill="1" applyBorder="1" applyAlignment="1">
      <alignment vertical="center"/>
    </xf>
    <xf numFmtId="0" fontId="21" fillId="2" borderId="0" xfId="0" applyFont="1" applyFill="1" applyBorder="1" applyAlignment="1">
      <alignment vertical="center"/>
    </xf>
    <xf numFmtId="0" fontId="39" fillId="2" borderId="0" xfId="0" applyFont="1" applyFill="1" applyBorder="1"/>
    <xf numFmtId="0" fontId="38" fillId="2" borderId="0" xfId="0" applyFont="1" applyFill="1" applyBorder="1" applyAlignment="1">
      <alignment wrapText="1"/>
    </xf>
    <xf numFmtId="49" fontId="0" fillId="2" borderId="0" xfId="0" applyNumberFormat="1" applyFill="1" applyBorder="1" applyAlignment="1">
      <alignment horizontal="left" vertical="top" wrapText="1"/>
    </xf>
    <xf numFmtId="0" fontId="7" fillId="0" borderId="0" xfId="0" applyFont="1" applyFill="1" applyBorder="1" applyAlignment="1">
      <alignment horizontal="left" vertical="center"/>
    </xf>
    <xf numFmtId="0" fontId="7" fillId="0" borderId="0" xfId="0" applyFont="1" applyFill="1" applyBorder="1" applyAlignment="1">
      <alignment vertical="center"/>
    </xf>
    <xf numFmtId="0" fontId="0" fillId="0" borderId="88" xfId="0" applyBorder="1"/>
    <xf numFmtId="0" fontId="0" fillId="0" borderId="110" xfId="0" applyBorder="1"/>
    <xf numFmtId="0" fontId="6" fillId="17" borderId="48" xfId="0" applyFont="1" applyFill="1" applyBorder="1" applyAlignment="1">
      <alignment horizontal="center" vertical="center" wrapText="1"/>
    </xf>
    <xf numFmtId="0" fontId="0" fillId="0" borderId="1" xfId="0" applyBorder="1" applyAlignment="1">
      <alignment horizontal="left"/>
    </xf>
    <xf numFmtId="0" fontId="43" fillId="2" borderId="0" xfId="0" applyFont="1" applyFill="1" applyBorder="1" applyAlignment="1">
      <alignment horizontal="center" vertical="center"/>
    </xf>
    <xf numFmtId="0" fontId="41" fillId="2" borderId="0" xfId="0" applyFont="1" applyFill="1" applyBorder="1" applyAlignment="1">
      <alignment horizontal="center" vertical="center"/>
    </xf>
    <xf numFmtId="0" fontId="11" fillId="0" borderId="0" xfId="4" applyFont="1" applyBorder="1" applyAlignment="1" applyProtection="1">
      <alignment vertical="top" wrapText="1"/>
    </xf>
    <xf numFmtId="0" fontId="11" fillId="0" borderId="120" xfId="4" applyFont="1" applyBorder="1" applyProtection="1"/>
    <xf numFmtId="0" fontId="11" fillId="0" borderId="121" xfId="4" applyFont="1" applyBorder="1" applyProtection="1"/>
    <xf numFmtId="0" fontId="11" fillId="0" borderId="122" xfId="4" applyFont="1" applyBorder="1" applyProtection="1"/>
    <xf numFmtId="0" fontId="11" fillId="0" borderId="123" xfId="4" applyFont="1" applyBorder="1" applyProtection="1"/>
    <xf numFmtId="0" fontId="11" fillId="0" borderId="121" xfId="4" applyFont="1" applyBorder="1" applyAlignment="1" applyProtection="1"/>
    <xf numFmtId="0" fontId="11" fillId="0" borderId="120" xfId="4" applyFont="1" applyBorder="1" applyAlignment="1" applyProtection="1">
      <alignment vertical="top" wrapText="1"/>
    </xf>
    <xf numFmtId="0" fontId="11" fillId="0" borderId="121" xfId="4" applyFont="1" applyBorder="1" applyAlignment="1" applyProtection="1">
      <alignment vertical="top" wrapText="1"/>
    </xf>
    <xf numFmtId="0" fontId="11" fillId="0" borderId="124" xfId="4" applyFont="1" applyBorder="1" applyProtection="1"/>
    <xf numFmtId="0" fontId="11" fillId="0" borderId="125" xfId="4" applyFont="1" applyBorder="1" applyProtection="1"/>
    <xf numFmtId="0" fontId="11" fillId="0" borderId="126" xfId="4" applyFont="1" applyBorder="1" applyProtection="1"/>
    <xf numFmtId="0" fontId="30" fillId="2" borderId="4" xfId="3" applyFont="1" applyFill="1" applyBorder="1" applyAlignment="1" applyProtection="1">
      <alignment vertical="center"/>
      <protection locked="0"/>
    </xf>
    <xf numFmtId="0" fontId="11" fillId="0" borderId="0" xfId="4" applyFont="1" applyBorder="1" applyProtection="1"/>
    <xf numFmtId="0" fontId="24" fillId="3" borderId="0" xfId="0" applyFont="1" applyFill="1" applyBorder="1" applyAlignment="1">
      <alignment horizontal="center" vertical="center" wrapText="1"/>
    </xf>
    <xf numFmtId="0" fontId="30" fillId="0" borderId="1" xfId="3" applyFont="1" applyFill="1" applyBorder="1" applyAlignment="1" applyProtection="1">
      <alignment vertical="center"/>
      <protection locked="0"/>
    </xf>
    <xf numFmtId="0" fontId="36" fillId="0" borderId="0" xfId="3" applyFont="1" applyFill="1" applyAlignment="1" applyProtection="1">
      <alignment vertical="center"/>
      <protection locked="0"/>
    </xf>
    <xf numFmtId="0" fontId="32" fillId="0" borderId="0" xfId="0" applyFont="1" applyFill="1" applyAlignment="1" applyProtection="1">
      <alignment vertical="center" wrapText="1"/>
      <protection locked="0"/>
    </xf>
    <xf numFmtId="0" fontId="36" fillId="0" borderId="0" xfId="0" applyFont="1" applyFill="1"/>
    <xf numFmtId="0" fontId="30" fillId="0" borderId="3" xfId="3" applyFont="1" applyFill="1" applyBorder="1" applyAlignment="1" applyProtection="1">
      <alignment vertical="center"/>
      <protection locked="0"/>
    </xf>
    <xf numFmtId="2" fontId="25" fillId="2" borderId="0" xfId="0" applyNumberFormat="1" applyFont="1" applyFill="1" applyBorder="1"/>
    <xf numFmtId="0" fontId="25" fillId="0" borderId="0" xfId="0" applyFont="1" applyFill="1" applyBorder="1"/>
    <xf numFmtId="2" fontId="25" fillId="0" borderId="0" xfId="0" applyNumberFormat="1" applyFont="1" applyFill="1" applyBorder="1"/>
    <xf numFmtId="167" fontId="25" fillId="0" borderId="0" xfId="0" applyNumberFormat="1" applyFont="1" applyFill="1" applyBorder="1"/>
    <xf numFmtId="0" fontId="19" fillId="0" borderId="13" xfId="0" applyFont="1" applyFill="1" applyBorder="1" applyAlignment="1">
      <alignment horizontal="left" vertical="center" wrapText="1"/>
    </xf>
    <xf numFmtId="0" fontId="22" fillId="0" borderId="8"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45" fillId="16" borderId="1" xfId="3" applyNumberFormat="1" applyFont="1" applyFill="1" applyBorder="1" applyAlignment="1" applyProtection="1">
      <alignment horizontal="center" vertical="center" wrapText="1"/>
      <protection locked="0"/>
    </xf>
    <xf numFmtId="0" fontId="45" fillId="15" borderId="1" xfId="3" applyNumberFormat="1" applyFont="1" applyFill="1" applyBorder="1" applyAlignment="1" applyProtection="1">
      <alignment horizontal="center" vertical="center" wrapText="1"/>
      <protection locked="0"/>
    </xf>
    <xf numFmtId="0" fontId="45" fillId="14" borderId="1" xfId="3" applyNumberFormat="1" applyFont="1" applyFill="1" applyBorder="1" applyAlignment="1" applyProtection="1">
      <alignment horizontal="center" vertical="center" wrapText="1"/>
      <protection locked="0"/>
    </xf>
    <xf numFmtId="0" fontId="45" fillId="13" borderId="1" xfId="3" applyNumberFormat="1" applyFont="1" applyFill="1" applyBorder="1" applyAlignment="1" applyProtection="1">
      <alignment horizontal="center" vertical="center" wrapText="1"/>
      <protection locked="0"/>
    </xf>
    <xf numFmtId="0" fontId="19" fillId="2" borderId="0" xfId="0" applyFont="1" applyFill="1"/>
    <xf numFmtId="1" fontId="47" fillId="2" borderId="0" xfId="3" applyNumberFormat="1" applyFont="1" applyFill="1" applyAlignment="1" applyProtection="1">
      <alignment vertical="center"/>
      <protection locked="0"/>
    </xf>
    <xf numFmtId="49" fontId="47" fillId="2" borderId="0" xfId="3" applyNumberFormat="1" applyFont="1" applyFill="1" applyAlignment="1" applyProtection="1">
      <alignment vertical="center"/>
      <protection locked="0"/>
    </xf>
    <xf numFmtId="0" fontId="47" fillId="2" borderId="0" xfId="3" applyFont="1" applyFill="1" applyAlignment="1" applyProtection="1">
      <alignment vertical="center"/>
      <protection locked="0"/>
    </xf>
    <xf numFmtId="0" fontId="48" fillId="0" borderId="0" xfId="3" applyFont="1" applyFill="1" applyAlignment="1" applyProtection="1">
      <alignment vertical="center"/>
      <protection locked="0"/>
    </xf>
    <xf numFmtId="0" fontId="30" fillId="2" borderId="141" xfId="3" applyFont="1" applyFill="1" applyBorder="1" applyAlignment="1" applyProtection="1">
      <alignment vertical="center"/>
      <protection locked="0"/>
    </xf>
    <xf numFmtId="0" fontId="30" fillId="2" borderId="3" xfId="3" applyFont="1" applyFill="1" applyBorder="1" applyAlignment="1" applyProtection="1">
      <alignment vertical="center"/>
      <protection locked="0"/>
    </xf>
    <xf numFmtId="0" fontId="15" fillId="19" borderId="1" xfId="0" applyFont="1" applyFill="1" applyBorder="1" applyAlignment="1">
      <alignment horizontal="center" vertical="center"/>
    </xf>
    <xf numFmtId="0" fontId="19" fillId="19" borderId="1" xfId="0" applyFont="1" applyFill="1" applyBorder="1" applyAlignment="1">
      <alignment horizontal="center" vertical="center"/>
    </xf>
    <xf numFmtId="0" fontId="6" fillId="17" borderId="97" xfId="0" applyFont="1" applyFill="1" applyBorder="1" applyAlignment="1">
      <alignment horizontal="center" vertical="center" wrapText="1"/>
    </xf>
    <xf numFmtId="0" fontId="6" fillId="3" borderId="87" xfId="0" applyFont="1" applyFill="1" applyBorder="1" applyAlignment="1">
      <alignment horizontal="center" vertical="center" wrapText="1"/>
    </xf>
    <xf numFmtId="0" fontId="6" fillId="3" borderId="97"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41" fillId="17" borderId="48" xfId="0" applyFont="1" applyFill="1" applyBorder="1" applyAlignment="1">
      <alignment horizontal="center" vertical="center" wrapText="1"/>
    </xf>
    <xf numFmtId="0" fontId="52" fillId="0" borderId="0" xfId="0" applyFont="1" applyBorder="1" applyAlignment="1">
      <alignment horizontal="center" wrapText="1"/>
    </xf>
    <xf numFmtId="0" fontId="41" fillId="6" borderId="1" xfId="0" applyFont="1" applyFill="1" applyBorder="1" applyAlignment="1">
      <alignment horizontal="center" vertical="center" wrapText="1"/>
    </xf>
    <xf numFmtId="0" fontId="41" fillId="5" borderId="1"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1" fillId="7" borderId="1" xfId="0" applyFont="1" applyFill="1" applyBorder="1" applyAlignment="1">
      <alignment horizontal="center" vertical="center" wrapText="1"/>
    </xf>
    <xf numFmtId="0" fontId="41" fillId="11" borderId="1" xfId="0" applyFont="1" applyFill="1" applyBorder="1" applyAlignment="1">
      <alignment horizontal="center" vertical="center" wrapText="1"/>
    </xf>
    <xf numFmtId="0" fontId="49" fillId="3" borderId="1" xfId="0" applyFont="1" applyFill="1" applyBorder="1" applyAlignment="1">
      <alignment horizontal="center" vertical="center"/>
    </xf>
    <xf numFmtId="2" fontId="53" fillId="2" borderId="0" xfId="0" applyNumberFormat="1" applyFont="1" applyFill="1" applyBorder="1"/>
    <xf numFmtId="2" fontId="53" fillId="0" borderId="0" xfId="0" applyNumberFormat="1" applyFont="1" applyFill="1" applyBorder="1"/>
    <xf numFmtId="0" fontId="53" fillId="2" borderId="0" xfId="0" applyFont="1" applyFill="1"/>
    <xf numFmtId="0" fontId="21" fillId="2" borderId="0" xfId="0" applyFont="1" applyFill="1" applyProtection="1"/>
    <xf numFmtId="1" fontId="21" fillId="2" borderId="0" xfId="0" applyNumberFormat="1" applyFont="1" applyFill="1" applyBorder="1" applyAlignment="1" applyProtection="1">
      <alignment horizontal="center" vertical="center"/>
    </xf>
    <xf numFmtId="0" fontId="21" fillId="2" borderId="0" xfId="0" applyFont="1" applyFill="1" applyBorder="1" applyProtection="1"/>
    <xf numFmtId="0" fontId="22" fillId="2" borderId="106" xfId="0" applyFont="1" applyFill="1" applyBorder="1" applyAlignment="1" applyProtection="1">
      <alignment horizontal="center" vertical="center"/>
      <protection locked="0"/>
    </xf>
    <xf numFmtId="0" fontId="22" fillId="2" borderId="12" xfId="0" applyFont="1" applyFill="1" applyBorder="1" applyAlignment="1" applyProtection="1">
      <alignment horizontal="center" vertical="center"/>
      <protection locked="0"/>
    </xf>
    <xf numFmtId="0" fontId="22" fillId="2" borderId="109" xfId="0" applyFont="1" applyFill="1" applyBorder="1" applyAlignment="1" applyProtection="1">
      <alignment horizontal="center" vertical="center"/>
      <protection locked="0"/>
    </xf>
    <xf numFmtId="0" fontId="22" fillId="2" borderId="19" xfId="0" applyFont="1" applyFill="1" applyBorder="1" applyAlignment="1" applyProtection="1">
      <alignment horizontal="center" vertical="center"/>
      <protection locked="0"/>
    </xf>
    <xf numFmtId="0" fontId="22" fillId="2" borderId="17" xfId="0" applyFont="1" applyFill="1" applyBorder="1" applyAlignment="1" applyProtection="1">
      <alignment horizontal="center" vertical="center"/>
      <protection locked="0"/>
    </xf>
    <xf numFmtId="0" fontId="22" fillId="2" borderId="105" xfId="0" applyFont="1" applyFill="1" applyBorder="1" applyAlignment="1" applyProtection="1">
      <alignment horizontal="center" vertical="center"/>
      <protection locked="0"/>
    </xf>
    <xf numFmtId="9" fontId="22" fillId="0" borderId="3" xfId="6" applyFont="1" applyFill="1" applyBorder="1" applyAlignment="1" applyProtection="1">
      <alignment horizontal="center" vertical="center"/>
      <protection hidden="1"/>
    </xf>
    <xf numFmtId="9" fontId="22" fillId="0" borderId="1" xfId="6" applyFont="1" applyFill="1" applyBorder="1" applyAlignment="1" applyProtection="1">
      <alignment horizontal="center" vertical="center"/>
      <protection hidden="1"/>
    </xf>
    <xf numFmtId="0" fontId="31" fillId="2" borderId="131" xfId="3" applyFont="1" applyFill="1" applyBorder="1" applyAlignment="1" applyProtection="1">
      <alignment horizontal="center" vertical="center" wrapText="1"/>
      <protection hidden="1"/>
    </xf>
    <xf numFmtId="0" fontId="21" fillId="2" borderId="81" xfId="3" applyNumberFormat="1" applyFont="1" applyFill="1" applyBorder="1" applyAlignment="1" applyProtection="1">
      <alignment horizontal="center" vertical="center" wrapText="1"/>
      <protection hidden="1"/>
    </xf>
    <xf numFmtId="0" fontId="31" fillId="2" borderId="82" xfId="3" applyFont="1" applyFill="1" applyBorder="1" applyAlignment="1" applyProtection="1">
      <alignment horizontal="center" vertical="center" wrapText="1"/>
      <protection hidden="1"/>
    </xf>
    <xf numFmtId="0" fontId="31" fillId="2" borderId="82" xfId="3" applyFont="1" applyFill="1" applyBorder="1" applyAlignment="1" applyProtection="1">
      <alignment horizontal="left" vertical="top" wrapText="1"/>
      <protection hidden="1"/>
    </xf>
    <xf numFmtId="1" fontId="31" fillId="2" borderId="82" xfId="3" applyNumberFormat="1" applyFont="1" applyFill="1" applyBorder="1" applyAlignment="1" applyProtection="1">
      <alignment horizontal="center" vertical="center" wrapText="1"/>
      <protection hidden="1"/>
    </xf>
    <xf numFmtId="0" fontId="31" fillId="2" borderId="102" xfId="3" applyFont="1" applyFill="1" applyBorder="1" applyAlignment="1" applyProtection="1">
      <alignment horizontal="center" vertical="center" wrapText="1"/>
      <protection hidden="1"/>
    </xf>
    <xf numFmtId="1" fontId="21" fillId="2" borderId="83" xfId="3" applyNumberFormat="1" applyFont="1" applyFill="1" applyBorder="1" applyAlignment="1" applyProtection="1">
      <alignment horizontal="center" vertical="center" wrapText="1"/>
      <protection hidden="1"/>
    </xf>
    <xf numFmtId="0" fontId="31" fillId="2" borderId="84" xfId="3" applyFont="1" applyFill="1" applyBorder="1" applyAlignment="1" applyProtection="1">
      <alignment horizontal="center" vertical="center" wrapText="1"/>
      <protection hidden="1"/>
    </xf>
    <xf numFmtId="0" fontId="31" fillId="2" borderId="84" xfId="3" applyFont="1" applyFill="1" applyBorder="1" applyAlignment="1" applyProtection="1">
      <alignment horizontal="left" vertical="top" wrapText="1"/>
      <protection hidden="1"/>
    </xf>
    <xf numFmtId="0" fontId="31" fillId="2" borderId="103" xfId="3" applyFont="1" applyFill="1" applyBorder="1" applyAlignment="1" applyProtection="1">
      <alignment horizontal="center" vertical="center" wrapText="1"/>
      <protection hidden="1"/>
    </xf>
    <xf numFmtId="0" fontId="21" fillId="2" borderId="83" xfId="3" applyNumberFormat="1" applyFont="1" applyFill="1" applyBorder="1" applyAlignment="1" applyProtection="1">
      <alignment horizontal="center" vertical="center" wrapText="1"/>
      <protection hidden="1"/>
    </xf>
    <xf numFmtId="1" fontId="21" fillId="2" borderId="85" xfId="3" applyNumberFormat="1" applyFont="1" applyFill="1" applyBorder="1" applyAlignment="1" applyProtection="1">
      <alignment horizontal="center" vertical="center" wrapText="1"/>
      <protection hidden="1"/>
    </xf>
    <xf numFmtId="0" fontId="31" fillId="2" borderId="86" xfId="3" applyFont="1" applyFill="1" applyBorder="1" applyAlignment="1" applyProtection="1">
      <alignment horizontal="center" vertical="center" wrapText="1"/>
      <protection hidden="1"/>
    </xf>
    <xf numFmtId="0" fontId="31" fillId="2" borderId="86" xfId="3" applyFont="1" applyFill="1" applyBorder="1" applyAlignment="1" applyProtection="1">
      <alignment horizontal="left" vertical="top" wrapText="1"/>
      <protection hidden="1"/>
    </xf>
    <xf numFmtId="0" fontId="31" fillId="2" borderId="132" xfId="3" applyFont="1" applyFill="1" applyBorder="1" applyAlignment="1" applyProtection="1">
      <alignment horizontal="center" vertical="center" wrapText="1"/>
      <protection hidden="1"/>
    </xf>
    <xf numFmtId="0" fontId="33" fillId="3" borderId="19" xfId="3" applyFont="1" applyFill="1" applyBorder="1" applyAlignment="1" applyProtection="1">
      <alignment horizontal="center" vertical="center"/>
    </xf>
    <xf numFmtId="0" fontId="33" fillId="3" borderId="12" xfId="3" applyFont="1" applyFill="1" applyBorder="1" applyAlignment="1" applyProtection="1">
      <alignment horizontal="center" vertical="center" wrapText="1"/>
    </xf>
    <xf numFmtId="0" fontId="34" fillId="18" borderId="69" xfId="3" applyFont="1" applyFill="1" applyBorder="1" applyAlignment="1" applyProtection="1">
      <alignment horizontal="center" vertical="center"/>
    </xf>
    <xf numFmtId="0" fontId="34" fillId="18" borderId="140" xfId="3" applyFont="1" applyFill="1" applyBorder="1" applyAlignment="1" applyProtection="1">
      <alignment horizontal="center" vertical="center"/>
    </xf>
    <xf numFmtId="0" fontId="30" fillId="2" borderId="0" xfId="3" applyFont="1" applyFill="1" applyAlignment="1" applyProtection="1">
      <alignment vertical="center"/>
      <protection hidden="1"/>
    </xf>
    <xf numFmtId="9" fontId="11" fillId="2" borderId="0" xfId="3" applyNumberFormat="1" applyFont="1" applyFill="1" applyAlignment="1" applyProtection="1">
      <alignment vertical="center"/>
      <protection hidden="1"/>
    </xf>
    <xf numFmtId="9" fontId="36" fillId="2" borderId="0" xfId="6" applyFont="1" applyFill="1" applyAlignment="1" applyProtection="1">
      <alignment vertical="center"/>
      <protection hidden="1"/>
    </xf>
    <xf numFmtId="9" fontId="36" fillId="2" borderId="0" xfId="3" applyNumberFormat="1" applyFont="1" applyFill="1" applyAlignment="1" applyProtection="1">
      <alignment vertical="center"/>
      <protection hidden="1"/>
    </xf>
    <xf numFmtId="0" fontId="11" fillId="2" borderId="0" xfId="3" applyFont="1" applyFill="1" applyAlignment="1" applyProtection="1">
      <alignment vertical="center"/>
      <protection hidden="1"/>
    </xf>
    <xf numFmtId="9" fontId="44" fillId="16" borderId="1" xfId="0" applyNumberFormat="1" applyFont="1" applyFill="1" applyBorder="1" applyAlignment="1" applyProtection="1">
      <alignment horizontal="center" vertical="center"/>
      <protection hidden="1"/>
    </xf>
    <xf numFmtId="0" fontId="7" fillId="0" borderId="1" xfId="0" applyFont="1" applyFill="1" applyBorder="1" applyAlignment="1" applyProtection="1">
      <alignment horizontal="center" vertical="center"/>
      <protection hidden="1"/>
    </xf>
    <xf numFmtId="9" fontId="44" fillId="16" borderId="1" xfId="0" applyNumberFormat="1" applyFont="1" applyFill="1" applyBorder="1" applyAlignment="1" applyProtection="1">
      <alignment horizontal="center" vertical="center"/>
      <protection locked="0"/>
    </xf>
    <xf numFmtId="9" fontId="7" fillId="0" borderId="1" xfId="0" applyNumberFormat="1" applyFont="1" applyFill="1" applyBorder="1" applyAlignment="1" applyProtection="1">
      <alignment horizontal="center" vertical="center"/>
      <protection locked="0"/>
    </xf>
    <xf numFmtId="49" fontId="55" fillId="2" borderId="47" xfId="0" applyNumberFormat="1" applyFont="1" applyFill="1" applyBorder="1" applyAlignment="1" applyProtection="1">
      <alignment horizontal="center" vertical="center" wrapText="1"/>
      <protection locked="0"/>
    </xf>
    <xf numFmtId="0" fontId="15" fillId="0" borderId="0" xfId="3" applyNumberFormat="1" applyFont="1" applyBorder="1" applyAlignment="1" applyProtection="1">
      <alignment vertical="center"/>
      <protection hidden="1"/>
    </xf>
    <xf numFmtId="0" fontId="19" fillId="0" borderId="0" xfId="3" applyFont="1" applyFill="1" applyBorder="1" applyAlignment="1" applyProtection="1">
      <alignment vertical="center" wrapText="1"/>
      <protection hidden="1"/>
    </xf>
    <xf numFmtId="0" fontId="0" fillId="0" borderId="0" xfId="0" applyProtection="1">
      <protection hidden="1"/>
    </xf>
    <xf numFmtId="0" fontId="15" fillId="0" borderId="0" xfId="3" applyNumberFormat="1" applyFont="1" applyBorder="1" applyAlignment="1" applyProtection="1">
      <alignment vertical="center" wrapText="1"/>
      <protection hidden="1"/>
    </xf>
    <xf numFmtId="0" fontId="35" fillId="0" borderId="0" xfId="0" applyFont="1" applyProtection="1">
      <protection hidden="1"/>
    </xf>
    <xf numFmtId="0" fontId="11" fillId="0" borderId="120" xfId="4" applyFont="1" applyBorder="1" applyAlignment="1" applyProtection="1">
      <alignment horizontal="left" vertical="top"/>
    </xf>
    <xf numFmtId="0" fontId="11" fillId="0" borderId="121" xfId="4" applyFont="1" applyBorder="1" applyAlignment="1" applyProtection="1">
      <alignment horizontal="left" vertical="top"/>
    </xf>
    <xf numFmtId="0" fontId="15" fillId="10" borderId="1" xfId="3" applyNumberFormat="1" applyFont="1" applyFill="1" applyBorder="1" applyAlignment="1" applyProtection="1">
      <alignment horizontal="center" vertical="center" wrapText="1"/>
      <protection locked="0"/>
    </xf>
    <xf numFmtId="0" fontId="21" fillId="2" borderId="23" xfId="0" applyFont="1" applyFill="1" applyBorder="1" applyAlignment="1" applyProtection="1">
      <alignment horizontal="center" vertical="center"/>
      <protection locked="0"/>
    </xf>
    <xf numFmtId="0" fontId="21" fillId="2" borderId="24" xfId="0" applyFont="1" applyFill="1" applyBorder="1" applyAlignment="1" applyProtection="1">
      <alignment horizontal="center" vertical="center"/>
      <protection locked="0"/>
    </xf>
    <xf numFmtId="0" fontId="21" fillId="2" borderId="12" xfId="0" applyFont="1" applyFill="1" applyBorder="1" applyAlignment="1" applyProtection="1">
      <alignment horizontal="center" vertical="center"/>
      <protection locked="0"/>
    </xf>
    <xf numFmtId="0" fontId="21" fillId="2" borderId="19" xfId="0" applyFont="1" applyFill="1" applyBorder="1" applyAlignment="1" applyProtection="1">
      <alignment horizontal="center" vertical="center"/>
      <protection locked="0"/>
    </xf>
    <xf numFmtId="0" fontId="21" fillId="2" borderId="0" xfId="0" applyFont="1" applyFill="1" applyBorder="1" applyAlignment="1">
      <alignment horizontal="center"/>
    </xf>
    <xf numFmtId="164" fontId="21" fillId="2" borderId="0" xfId="0" applyNumberFormat="1" applyFont="1" applyFill="1" applyBorder="1" applyAlignment="1">
      <alignment horizontal="center"/>
    </xf>
    <xf numFmtId="0" fontId="15" fillId="19"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21" fillId="2" borderId="0" xfId="0" applyFont="1" applyFill="1" applyProtection="1">
      <protection locked="0"/>
    </xf>
    <xf numFmtId="0" fontId="21" fillId="2" borderId="17" xfId="0" applyFont="1" applyFill="1" applyBorder="1" applyAlignment="1" applyProtection="1">
      <alignment horizontal="justify" vertical="center" wrapText="1"/>
      <protection locked="0"/>
    </xf>
    <xf numFmtId="0" fontId="21" fillId="2" borderId="12" xfId="0" applyFont="1" applyFill="1" applyBorder="1" applyAlignment="1" applyProtection="1">
      <alignment horizontal="justify" vertical="center" wrapText="1"/>
      <protection locked="0"/>
    </xf>
    <xf numFmtId="0" fontId="21" fillId="2" borderId="17" xfId="0" applyFont="1" applyFill="1" applyBorder="1" applyAlignment="1" applyProtection="1">
      <alignment horizontal="center" vertical="center" wrapText="1"/>
      <protection locked="0"/>
    </xf>
    <xf numFmtId="0" fontId="21" fillId="2" borderId="17" xfId="0" applyFont="1" applyFill="1" applyBorder="1" applyAlignment="1" applyProtection="1">
      <alignment horizontal="justify" vertical="center" wrapText="1"/>
      <protection locked="0"/>
    </xf>
    <xf numFmtId="0" fontId="21" fillId="2" borderId="17" xfId="0" applyFont="1" applyFill="1" applyBorder="1" applyAlignment="1" applyProtection="1">
      <alignment horizontal="left" vertical="center" wrapText="1"/>
      <protection locked="0"/>
    </xf>
    <xf numFmtId="0" fontId="21" fillId="2" borderId="17" xfId="0" applyFont="1" applyFill="1" applyBorder="1" applyAlignment="1" applyProtection="1">
      <alignment horizontal="left" vertical="center"/>
      <protection locked="0"/>
    </xf>
    <xf numFmtId="0" fontId="21" fillId="2" borderId="17" xfId="0" applyFont="1" applyFill="1" applyBorder="1" applyAlignment="1" applyProtection="1">
      <alignment horizontal="justify" vertical="top" wrapText="1"/>
      <protection locked="0"/>
    </xf>
    <xf numFmtId="0" fontId="21" fillId="2" borderId="12" xfId="0" applyFont="1" applyFill="1" applyBorder="1" applyAlignment="1" applyProtection="1">
      <alignment horizontal="justify" vertical="top" wrapText="1"/>
      <protection locked="0"/>
    </xf>
    <xf numFmtId="0" fontId="21" fillId="2" borderId="17" xfId="0" applyFont="1" applyFill="1" applyBorder="1" applyAlignment="1" applyProtection="1">
      <alignment horizontal="justify" vertical="center" wrapText="1"/>
      <protection locked="0"/>
    </xf>
    <xf numFmtId="0" fontId="19" fillId="2" borderId="17" xfId="0" applyFont="1" applyFill="1" applyBorder="1" applyAlignment="1" applyProtection="1">
      <alignment horizontal="justify" vertical="center" wrapText="1"/>
      <protection locked="0"/>
    </xf>
    <xf numFmtId="0" fontId="21" fillId="2" borderId="17" xfId="0" applyFont="1" applyFill="1" applyBorder="1" applyAlignment="1" applyProtection="1">
      <alignment horizontal="justify" vertical="center" wrapText="1"/>
      <protection locked="0"/>
    </xf>
    <xf numFmtId="0" fontId="53" fillId="2" borderId="12" xfId="0" applyFont="1" applyFill="1" applyBorder="1" applyAlignment="1" applyProtection="1">
      <alignment horizontal="justify" vertical="top" wrapText="1"/>
      <protection locked="0"/>
    </xf>
    <xf numFmtId="0" fontId="21" fillId="2" borderId="0" xfId="0" applyFont="1" applyFill="1" applyAlignment="1" applyProtection="1">
      <alignment vertical="center" wrapText="1"/>
      <protection locked="0"/>
    </xf>
    <xf numFmtId="0" fontId="53" fillId="2" borderId="17" xfId="0" applyFont="1" applyFill="1" applyBorder="1" applyAlignment="1" applyProtection="1">
      <alignment horizontal="justify" vertical="top"/>
      <protection locked="0"/>
    </xf>
    <xf numFmtId="0" fontId="21" fillId="2" borderId="106" xfId="0" applyFont="1" applyFill="1" applyBorder="1" applyAlignment="1" applyProtection="1">
      <alignment horizontal="justify" vertical="center"/>
      <protection locked="0"/>
    </xf>
    <xf numFmtId="0" fontId="53" fillId="2" borderId="12" xfId="0" applyFont="1" applyFill="1" applyBorder="1" applyAlignment="1" applyProtection="1">
      <alignment horizontal="center" vertical="center" wrapText="1"/>
      <protection locked="0"/>
    </xf>
    <xf numFmtId="0" fontId="19" fillId="2" borderId="17" xfId="0" applyFont="1" applyFill="1" applyBorder="1" applyAlignment="1" applyProtection="1">
      <alignment horizontal="center" vertical="top" wrapText="1"/>
      <protection locked="0"/>
    </xf>
    <xf numFmtId="0" fontId="21" fillId="2" borderId="12" xfId="0" applyFont="1" applyFill="1" applyBorder="1" applyAlignment="1" applyProtection="1">
      <alignment horizontal="justify" vertical="top" wrapText="1"/>
      <protection locked="0"/>
    </xf>
    <xf numFmtId="0" fontId="21" fillId="2" borderId="17" xfId="0" applyFont="1" applyFill="1" applyBorder="1" applyAlignment="1" applyProtection="1">
      <alignment horizontal="justify" vertical="top" wrapText="1"/>
      <protection locked="0"/>
    </xf>
    <xf numFmtId="0" fontId="19" fillId="2" borderId="12" xfId="0" applyFont="1" applyFill="1" applyBorder="1" applyAlignment="1" applyProtection="1">
      <alignment horizontal="justify" vertical="top" wrapText="1"/>
      <protection locked="0"/>
    </xf>
    <xf numFmtId="0" fontId="19" fillId="2" borderId="17" xfId="0" applyFont="1" applyFill="1" applyBorder="1" applyAlignment="1" applyProtection="1">
      <alignment horizontal="left" vertical="center" wrapText="1"/>
      <protection locked="0"/>
    </xf>
    <xf numFmtId="0" fontId="19" fillId="2" borderId="12" xfId="0" applyFont="1" applyFill="1" applyBorder="1" applyAlignment="1" applyProtection="1">
      <alignment horizontal="left" vertical="center" wrapText="1"/>
      <protection locked="0"/>
    </xf>
    <xf numFmtId="0" fontId="19" fillId="2" borderId="12" xfId="0" applyFont="1" applyFill="1" applyBorder="1" applyAlignment="1" applyProtection="1">
      <alignment horizontal="left" vertical="center" wrapText="1"/>
    </xf>
    <xf numFmtId="0" fontId="21" fillId="2" borderId="12" xfId="0" applyFont="1" applyFill="1" applyBorder="1" applyAlignment="1" applyProtection="1">
      <alignment horizontal="center" vertical="center" wrapText="1"/>
      <protection locked="0"/>
    </xf>
    <xf numFmtId="0" fontId="19" fillId="2" borderId="17" xfId="0" applyFont="1" applyFill="1" applyBorder="1" applyAlignment="1" applyProtection="1">
      <alignment horizontal="left" vertical="center" wrapText="1"/>
      <protection locked="0"/>
    </xf>
    <xf numFmtId="0" fontId="22" fillId="2" borderId="12" xfId="0" applyFont="1" applyFill="1" applyBorder="1" applyAlignment="1" applyProtection="1">
      <alignment horizontal="center" vertical="top"/>
      <protection locked="0"/>
    </xf>
    <xf numFmtId="0" fontId="22" fillId="2" borderId="19" xfId="0" applyFont="1" applyFill="1" applyBorder="1" applyAlignment="1" applyProtection="1">
      <alignment horizontal="center" vertical="top"/>
      <protection locked="0"/>
    </xf>
    <xf numFmtId="0" fontId="19" fillId="2" borderId="12" xfId="0" applyFont="1" applyFill="1" applyBorder="1" applyAlignment="1" applyProtection="1">
      <alignment horizontal="center" vertical="center"/>
      <protection locked="0"/>
    </xf>
    <xf numFmtId="0" fontId="19" fillId="2" borderId="17" xfId="0" applyFont="1" applyFill="1" applyBorder="1" applyAlignment="1" applyProtection="1">
      <alignment horizontal="center" vertical="center" wrapText="1"/>
      <protection locked="0"/>
    </xf>
    <xf numFmtId="0" fontId="57" fillId="0" borderId="110" xfId="0" applyFont="1" applyFill="1" applyBorder="1" applyAlignment="1" applyProtection="1">
      <alignment vertical="top" wrapText="1"/>
      <protection locked="0"/>
    </xf>
    <xf numFmtId="0" fontId="58" fillId="0" borderId="110" xfId="0" applyFont="1" applyFill="1" applyBorder="1" applyAlignment="1" applyProtection="1">
      <alignment vertical="top" wrapText="1"/>
      <protection locked="0"/>
    </xf>
    <xf numFmtId="0" fontId="59" fillId="0" borderId="110" xfId="0" applyFont="1" applyBorder="1" applyAlignment="1" applyProtection="1">
      <alignment vertical="top" wrapText="1"/>
      <protection locked="0"/>
    </xf>
    <xf numFmtId="0" fontId="58" fillId="0" borderId="111" xfId="0" applyFont="1" applyBorder="1" applyAlignment="1" applyProtection="1">
      <alignment vertical="top" wrapText="1"/>
      <protection locked="0"/>
    </xf>
    <xf numFmtId="0" fontId="7" fillId="0" borderId="110" xfId="0" applyFont="1" applyFill="1" applyBorder="1" applyAlignment="1" applyProtection="1">
      <alignment horizontal="justify" vertical="center" wrapText="1"/>
      <protection locked="0"/>
    </xf>
    <xf numFmtId="0" fontId="60" fillId="0" borderId="110" xfId="0" applyFont="1" applyBorder="1" applyAlignment="1" applyProtection="1">
      <alignment vertical="top" wrapText="1"/>
      <protection locked="0"/>
    </xf>
    <xf numFmtId="0" fontId="58" fillId="0" borderId="110" xfId="0" applyFont="1" applyBorder="1" applyAlignment="1" applyProtection="1">
      <alignment vertical="top" wrapText="1"/>
      <protection locked="0"/>
    </xf>
    <xf numFmtId="0" fontId="58" fillId="0" borderId="111" xfId="0" applyFont="1" applyBorder="1" applyAlignment="1" applyProtection="1">
      <alignment horizontal="justify" vertical="top" wrapText="1"/>
      <protection locked="0"/>
    </xf>
    <xf numFmtId="0" fontId="12" fillId="0" borderId="118" xfId="4" applyFont="1" applyBorder="1" applyAlignment="1" applyProtection="1">
      <alignment horizontal="center" vertical="center" wrapText="1"/>
    </xf>
    <xf numFmtId="0" fontId="12" fillId="0" borderId="95" xfId="4" applyFont="1" applyBorder="1" applyAlignment="1" applyProtection="1">
      <alignment horizontal="center" vertical="center" wrapText="1"/>
    </xf>
    <xf numFmtId="0" fontId="12" fillId="0" borderId="119" xfId="4" applyFont="1" applyBorder="1" applyAlignment="1" applyProtection="1">
      <alignment horizontal="center" vertical="center" wrapText="1"/>
    </xf>
    <xf numFmtId="0" fontId="11" fillId="0" borderId="120" xfId="4" quotePrefix="1" applyFont="1" applyBorder="1" applyAlignment="1" applyProtection="1">
      <alignment horizontal="left" vertical="center" wrapText="1"/>
    </xf>
    <xf numFmtId="0" fontId="11" fillId="0" borderId="0" xfId="4" quotePrefix="1" applyFont="1" applyBorder="1" applyAlignment="1" applyProtection="1">
      <alignment horizontal="left" vertical="center" wrapText="1"/>
    </xf>
    <xf numFmtId="0" fontId="11" fillId="0" borderId="121" xfId="4" quotePrefix="1" applyFont="1" applyBorder="1" applyAlignment="1" applyProtection="1">
      <alignment horizontal="left" vertical="center" wrapText="1"/>
    </xf>
    <xf numFmtId="0" fontId="13" fillId="0" borderId="120" xfId="4" quotePrefix="1" applyFont="1" applyBorder="1" applyAlignment="1" applyProtection="1">
      <alignment horizontal="left" vertical="top" wrapText="1"/>
    </xf>
    <xf numFmtId="0" fontId="15" fillId="0" borderId="0" xfId="4" quotePrefix="1" applyFont="1" applyBorder="1" applyAlignment="1" applyProtection="1">
      <alignment horizontal="left" vertical="top" wrapText="1"/>
    </xf>
    <xf numFmtId="0" fontId="15" fillId="0" borderId="121" xfId="4" quotePrefix="1" applyFont="1" applyBorder="1" applyAlignment="1" applyProtection="1">
      <alignment horizontal="left" vertical="top" wrapText="1"/>
    </xf>
    <xf numFmtId="0" fontId="29" fillId="0" borderId="101" xfId="3" applyNumberFormat="1" applyFont="1" applyBorder="1" applyAlignment="1" applyProtection="1">
      <alignment horizontal="center" vertical="center" wrapText="1"/>
      <protection locked="0"/>
    </xf>
    <xf numFmtId="0" fontId="30" fillId="0" borderId="101" xfId="3" applyFont="1" applyFill="1" applyBorder="1" applyAlignment="1" applyProtection="1">
      <alignment horizontal="center" vertical="center" wrapText="1"/>
      <protection locked="0"/>
    </xf>
    <xf numFmtId="0" fontId="16" fillId="2" borderId="37" xfId="0" applyFont="1" applyFill="1" applyBorder="1" applyAlignment="1" applyProtection="1">
      <alignment horizontal="left" vertical="center" wrapText="1"/>
    </xf>
    <xf numFmtId="0" fontId="16" fillId="2" borderId="12" xfId="0" applyFont="1" applyFill="1" applyBorder="1" applyAlignment="1" applyProtection="1">
      <alignment horizontal="left" vertical="center" wrapText="1"/>
    </xf>
    <xf numFmtId="0" fontId="16" fillId="2" borderId="62" xfId="4" applyFont="1" applyFill="1" applyBorder="1" applyAlignment="1" applyProtection="1">
      <alignment horizontal="center" vertical="center" textRotation="90"/>
    </xf>
    <xf numFmtId="0" fontId="16" fillId="2" borderId="63" xfId="4" applyFont="1" applyFill="1" applyBorder="1" applyAlignment="1" applyProtection="1">
      <alignment horizontal="center" vertical="center" textRotation="90"/>
    </xf>
    <xf numFmtId="0" fontId="16" fillId="2" borderId="38" xfId="0" applyFont="1" applyFill="1" applyBorder="1" applyAlignment="1" applyProtection="1">
      <alignment horizontal="left" vertical="center" wrapText="1"/>
    </xf>
    <xf numFmtId="0" fontId="16" fillId="2" borderId="39" xfId="0" applyFont="1" applyFill="1" applyBorder="1" applyAlignment="1" applyProtection="1">
      <alignment horizontal="left" vertical="center" wrapText="1"/>
    </xf>
    <xf numFmtId="0" fontId="18" fillId="0" borderId="33" xfId="4" applyFont="1" applyFill="1" applyBorder="1" applyAlignment="1" applyProtection="1">
      <alignment horizontal="left" vertical="top" wrapText="1"/>
    </xf>
    <xf numFmtId="0" fontId="18" fillId="0" borderId="40" xfId="4" applyFont="1" applyFill="1" applyBorder="1" applyAlignment="1" applyProtection="1">
      <alignment horizontal="left" vertical="top" wrapText="1"/>
    </xf>
    <xf numFmtId="0" fontId="18" fillId="0" borderId="1" xfId="3" applyFont="1" applyFill="1" applyBorder="1" applyAlignment="1" applyProtection="1">
      <alignment horizontal="center" vertical="center" wrapText="1"/>
      <protection locked="0"/>
    </xf>
    <xf numFmtId="0" fontId="15" fillId="10" borderId="1" xfId="3" applyNumberFormat="1" applyFont="1" applyFill="1" applyBorder="1" applyAlignment="1" applyProtection="1">
      <alignment horizontal="center" vertical="center" wrapText="1"/>
      <protection locked="0"/>
    </xf>
    <xf numFmtId="0" fontId="11" fillId="0" borderId="120" xfId="4" applyFont="1" applyBorder="1" applyAlignment="1" applyProtection="1">
      <alignment horizontal="left" vertical="top"/>
    </xf>
    <xf numFmtId="0" fontId="11" fillId="0" borderId="0" xfId="4" applyFont="1" applyBorder="1" applyAlignment="1" applyProtection="1">
      <alignment horizontal="left" vertical="top"/>
    </xf>
    <xf numFmtId="0" fontId="11" fillId="0" borderId="121" xfId="4" applyFont="1" applyBorder="1" applyAlignment="1" applyProtection="1">
      <alignment horizontal="left" vertical="top"/>
    </xf>
    <xf numFmtId="0" fontId="18" fillId="0" borderId="33" xfId="0" applyFont="1" applyFill="1" applyBorder="1" applyAlignment="1" applyProtection="1">
      <alignment horizontal="left" vertical="center" wrapText="1"/>
    </xf>
    <xf numFmtId="0" fontId="18" fillId="0" borderId="40" xfId="0" applyFont="1" applyFill="1" applyBorder="1" applyAlignment="1" applyProtection="1">
      <alignment horizontal="left" vertical="center" wrapText="1"/>
    </xf>
    <xf numFmtId="0" fontId="11" fillId="0" borderId="120" xfId="4" applyFont="1" applyBorder="1" applyAlignment="1" applyProtection="1">
      <alignment horizontal="left" vertical="top" wrapText="1"/>
    </xf>
    <xf numFmtId="0" fontId="11" fillId="0" borderId="0" xfId="4" applyFont="1" applyBorder="1" applyAlignment="1" applyProtection="1">
      <alignment horizontal="left" vertical="top" wrapText="1"/>
    </xf>
    <xf numFmtId="0" fontId="11" fillId="0" borderId="121" xfId="4" applyFont="1" applyBorder="1" applyAlignment="1" applyProtection="1">
      <alignment horizontal="left" vertical="top" wrapText="1"/>
    </xf>
    <xf numFmtId="0" fontId="11" fillId="0" borderId="0" xfId="4" applyFont="1" applyBorder="1" applyAlignment="1" applyProtection="1"/>
    <xf numFmtId="0" fontId="11" fillId="0" borderId="120" xfId="4" quotePrefix="1" applyFont="1" applyBorder="1" applyAlignment="1" applyProtection="1">
      <alignment horizontal="left" vertical="top" wrapText="1"/>
    </xf>
    <xf numFmtId="0" fontId="11" fillId="0" borderId="0" xfId="4" quotePrefix="1" applyFont="1" applyBorder="1" applyAlignment="1" applyProtection="1">
      <alignment horizontal="left" vertical="top" wrapText="1"/>
    </xf>
    <xf numFmtId="0" fontId="11" fillId="0" borderId="121" xfId="4" quotePrefix="1" applyFont="1" applyBorder="1" applyAlignment="1" applyProtection="1">
      <alignment horizontal="left" vertical="top" wrapText="1"/>
    </xf>
    <xf numFmtId="0" fontId="16" fillId="12" borderId="116" xfId="4" applyFont="1" applyFill="1" applyBorder="1" applyAlignment="1" applyProtection="1">
      <alignment horizontal="center" vertical="center"/>
    </xf>
    <xf numFmtId="0" fontId="16" fillId="12" borderId="117" xfId="4" applyFont="1" applyFill="1" applyBorder="1" applyAlignment="1" applyProtection="1">
      <alignment horizontal="center" vertical="center"/>
    </xf>
    <xf numFmtId="0" fontId="18" fillId="0" borderId="114" xfId="4" applyFont="1" applyFill="1" applyBorder="1" applyAlignment="1" applyProtection="1">
      <alignment horizontal="left" vertical="top" wrapText="1"/>
    </xf>
    <xf numFmtId="0" fontId="18" fillId="0" borderId="115" xfId="4" applyFont="1" applyFill="1" applyBorder="1" applyAlignment="1" applyProtection="1">
      <alignment horizontal="left" vertical="top" wrapText="1"/>
    </xf>
    <xf numFmtId="0" fontId="18" fillId="0" borderId="112" xfId="0" applyFont="1" applyFill="1" applyBorder="1" applyAlignment="1" applyProtection="1">
      <alignment horizontal="left" vertical="top" wrapText="1"/>
    </xf>
    <xf numFmtId="0" fontId="18" fillId="0" borderId="113" xfId="0" applyFont="1" applyFill="1" applyBorder="1" applyAlignment="1" applyProtection="1">
      <alignment horizontal="left" vertical="top" wrapText="1"/>
    </xf>
    <xf numFmtId="0" fontId="16" fillId="2" borderId="36" xfId="5" applyFont="1" applyFill="1" applyBorder="1" applyAlignment="1" applyProtection="1">
      <alignment horizontal="left" vertical="top" wrapText="1" readingOrder="1"/>
    </xf>
    <xf numFmtId="0" fontId="16" fillId="2" borderId="9" xfId="5" applyFont="1" applyFill="1" applyBorder="1" applyAlignment="1" applyProtection="1">
      <alignment horizontal="left" vertical="top" wrapText="1" readingOrder="1"/>
    </xf>
    <xf numFmtId="0" fontId="16" fillId="12" borderId="34" xfId="5" applyFont="1" applyFill="1" applyBorder="1" applyAlignment="1" applyProtection="1">
      <alignment horizontal="center" vertical="center" wrapText="1"/>
    </xf>
    <xf numFmtId="0" fontId="16" fillId="12" borderId="35" xfId="5" applyFont="1" applyFill="1" applyBorder="1" applyAlignment="1" applyProtection="1">
      <alignment horizontal="center" vertical="center" wrapText="1"/>
    </xf>
    <xf numFmtId="0" fontId="28" fillId="12" borderId="0" xfId="0" applyFont="1" applyFill="1" applyAlignment="1" applyProtection="1">
      <alignment horizontal="center" vertical="center" wrapText="1"/>
      <protection locked="0"/>
    </xf>
    <xf numFmtId="0" fontId="19" fillId="2" borderId="17" xfId="0" applyFont="1" applyFill="1" applyBorder="1" applyAlignment="1" applyProtection="1">
      <alignment horizontal="center" vertical="top" wrapText="1"/>
      <protection locked="0"/>
    </xf>
    <xf numFmtId="0" fontId="19" fillId="2" borderId="12" xfId="0" applyFont="1" applyFill="1" applyBorder="1" applyAlignment="1" applyProtection="1">
      <alignment horizontal="center" vertical="top" wrapText="1"/>
      <protection locked="0"/>
    </xf>
    <xf numFmtId="0" fontId="21" fillId="0" borderId="16" xfId="0" applyFont="1" applyFill="1" applyBorder="1" applyAlignment="1" applyProtection="1">
      <alignment horizontal="left" vertical="top" wrapText="1"/>
      <protection locked="0"/>
    </xf>
    <xf numFmtId="0" fontId="21" fillId="0" borderId="14" xfId="0" applyFont="1" applyFill="1" applyBorder="1" applyAlignment="1" applyProtection="1">
      <alignment horizontal="left" vertical="top" wrapText="1"/>
      <protection locked="0"/>
    </xf>
    <xf numFmtId="0" fontId="21" fillId="0" borderId="15" xfId="0" applyFont="1" applyFill="1" applyBorder="1" applyAlignment="1" applyProtection="1">
      <alignment horizontal="left" vertical="top" wrapText="1"/>
      <protection locked="0"/>
    </xf>
    <xf numFmtId="0" fontId="21" fillId="2" borderId="17" xfId="0" applyFont="1" applyFill="1" applyBorder="1" applyAlignment="1" applyProtection="1">
      <alignment horizontal="center" vertical="top" wrapText="1"/>
      <protection locked="0"/>
    </xf>
    <xf numFmtId="0" fontId="21" fillId="2" borderId="12" xfId="0" applyFont="1" applyFill="1" applyBorder="1" applyAlignment="1" applyProtection="1">
      <alignment horizontal="center" vertical="top" wrapText="1"/>
      <protection locked="0"/>
    </xf>
    <xf numFmtId="0" fontId="21" fillId="2" borderId="19" xfId="0" applyFont="1" applyFill="1" applyBorder="1" applyAlignment="1" applyProtection="1">
      <alignment horizontal="center" vertical="top" wrapText="1"/>
      <protection locked="0"/>
    </xf>
    <xf numFmtId="0" fontId="53" fillId="2" borderId="17" xfId="0" applyFont="1" applyFill="1" applyBorder="1" applyAlignment="1" applyProtection="1">
      <alignment horizontal="center" vertical="top" wrapText="1"/>
      <protection locked="0"/>
    </xf>
    <xf numFmtId="0" fontId="53" fillId="2" borderId="12" xfId="0" applyFont="1" applyFill="1" applyBorder="1" applyAlignment="1" applyProtection="1">
      <alignment horizontal="center" vertical="top"/>
      <protection locked="0"/>
    </xf>
    <xf numFmtId="0" fontId="21" fillId="2" borderId="12" xfId="0" applyFont="1" applyFill="1" applyBorder="1" applyAlignment="1" applyProtection="1">
      <alignment horizontal="center" vertical="top"/>
      <protection locked="0"/>
    </xf>
    <xf numFmtId="0" fontId="21" fillId="2" borderId="22" xfId="0" applyFont="1" applyFill="1" applyBorder="1" applyAlignment="1" applyProtection="1">
      <alignment horizontal="center" vertical="top" wrapText="1"/>
      <protection locked="0"/>
    </xf>
    <xf numFmtId="0" fontId="21" fillId="2" borderId="23" xfId="0" applyFont="1" applyFill="1" applyBorder="1" applyAlignment="1" applyProtection="1">
      <alignment horizontal="center" vertical="top"/>
      <protection locked="0"/>
    </xf>
    <xf numFmtId="0" fontId="21" fillId="0" borderId="22" xfId="0" applyFont="1" applyFill="1" applyBorder="1" applyAlignment="1" applyProtection="1">
      <alignment horizontal="left" vertical="top" wrapText="1"/>
      <protection locked="0"/>
    </xf>
    <xf numFmtId="0" fontId="21" fillId="0" borderId="23" xfId="0" applyFont="1" applyFill="1" applyBorder="1" applyAlignment="1" applyProtection="1">
      <alignment horizontal="left" vertical="top" wrapText="1"/>
      <protection locked="0"/>
    </xf>
    <xf numFmtId="0" fontId="21" fillId="0" borderId="24" xfId="0" applyFont="1" applyFill="1" applyBorder="1" applyAlignment="1" applyProtection="1">
      <alignment horizontal="left" vertical="top" wrapText="1"/>
      <protection locked="0"/>
    </xf>
    <xf numFmtId="0" fontId="19" fillId="0" borderId="22" xfId="0" applyFont="1" applyFill="1" applyBorder="1" applyAlignment="1" applyProtection="1">
      <alignment horizontal="left" vertical="top" wrapText="1"/>
      <protection locked="0"/>
    </xf>
    <xf numFmtId="0" fontId="19" fillId="0" borderId="23" xfId="0" applyFont="1" applyFill="1" applyBorder="1" applyAlignment="1" applyProtection="1">
      <alignment horizontal="left" vertical="top" wrapText="1"/>
      <protection locked="0"/>
    </xf>
    <xf numFmtId="0" fontId="19" fillId="0" borderId="24" xfId="0" applyFont="1" applyFill="1" applyBorder="1" applyAlignment="1" applyProtection="1">
      <alignment horizontal="left" vertical="top" wrapText="1"/>
      <protection locked="0"/>
    </xf>
    <xf numFmtId="0" fontId="24" fillId="6" borderId="94" xfId="0" applyFont="1" applyFill="1" applyBorder="1" applyAlignment="1" applyProtection="1">
      <alignment horizontal="center" vertical="center"/>
      <protection locked="0"/>
    </xf>
    <xf numFmtId="0" fontId="24" fillId="6" borderId="95" xfId="0" applyFont="1" applyFill="1" applyBorder="1" applyAlignment="1" applyProtection="1">
      <alignment horizontal="center" vertical="center"/>
      <protection locked="0"/>
    </xf>
    <xf numFmtId="0" fontId="24" fillId="6" borderId="96" xfId="0" applyFont="1" applyFill="1" applyBorder="1" applyAlignment="1" applyProtection="1">
      <alignment horizontal="center" vertical="center"/>
      <protection locked="0"/>
    </xf>
    <xf numFmtId="0" fontId="24" fillId="6" borderId="2" xfId="0" applyFont="1" applyFill="1" applyBorder="1" applyAlignment="1" applyProtection="1">
      <alignment horizontal="center" vertical="center" wrapText="1"/>
      <protection locked="0"/>
    </xf>
    <xf numFmtId="0" fontId="24" fillId="6" borderId="26" xfId="0" applyFont="1" applyFill="1" applyBorder="1" applyAlignment="1" applyProtection="1">
      <alignment horizontal="center" vertical="center" wrapText="1"/>
      <protection locked="0"/>
    </xf>
    <xf numFmtId="0" fontId="46" fillId="19" borderId="1" xfId="0" applyFont="1" applyFill="1" applyBorder="1" applyAlignment="1">
      <alignment horizontal="center" vertical="center" textRotation="90" shrinkToFit="1"/>
    </xf>
    <xf numFmtId="0" fontId="21" fillId="0" borderId="23" xfId="0" applyFont="1" applyFill="1" applyBorder="1" applyAlignment="1">
      <alignment horizontal="left" vertical="top" wrapText="1"/>
    </xf>
    <xf numFmtId="0" fontId="21" fillId="0" borderId="24" xfId="0" applyFont="1" applyFill="1" applyBorder="1" applyAlignment="1">
      <alignment horizontal="left" vertical="top" wrapText="1"/>
    </xf>
    <xf numFmtId="0" fontId="21" fillId="2" borderId="23" xfId="0" applyFont="1" applyFill="1" applyBorder="1" applyAlignment="1" applyProtection="1">
      <alignment horizontal="center" vertical="center"/>
      <protection locked="0"/>
    </xf>
    <xf numFmtId="0" fontId="21" fillId="2" borderId="24" xfId="0" applyFont="1" applyFill="1" applyBorder="1" applyAlignment="1" applyProtection="1">
      <alignment horizontal="center" vertical="center"/>
      <protection locked="0"/>
    </xf>
    <xf numFmtId="0" fontId="21" fillId="2" borderId="29" xfId="0" applyFont="1" applyFill="1" applyBorder="1" applyAlignment="1" applyProtection="1">
      <alignment horizontal="center" vertical="center" wrapText="1"/>
      <protection hidden="1"/>
    </xf>
    <xf numFmtId="0" fontId="21" fillId="2" borderId="13" xfId="0" applyFont="1" applyFill="1" applyBorder="1" applyAlignment="1" applyProtection="1">
      <alignment horizontal="center" vertical="center" wrapText="1"/>
      <protection hidden="1"/>
    </xf>
    <xf numFmtId="0" fontId="21" fillId="2" borderId="91" xfId="0" applyFont="1" applyFill="1" applyBorder="1" applyAlignment="1" applyProtection="1">
      <alignment horizontal="center" vertical="center" wrapText="1"/>
      <protection hidden="1"/>
    </xf>
    <xf numFmtId="0" fontId="21" fillId="0" borderId="16" xfId="0" applyFont="1" applyFill="1" applyBorder="1" applyAlignment="1">
      <alignment horizontal="left" vertical="top" wrapText="1"/>
    </xf>
    <xf numFmtId="0" fontId="21" fillId="0" borderId="14" xfId="0" applyFont="1" applyFill="1" applyBorder="1" applyAlignment="1">
      <alignment horizontal="left" vertical="top" wrapText="1"/>
    </xf>
    <xf numFmtId="0" fontId="21" fillId="0" borderId="15" xfId="0" applyFont="1" applyFill="1" applyBorder="1" applyAlignment="1">
      <alignment horizontal="left" vertical="top" wrapText="1"/>
    </xf>
    <xf numFmtId="0" fontId="21" fillId="2" borderId="22" xfId="0" applyFont="1" applyFill="1" applyBorder="1" applyAlignment="1" applyProtection="1">
      <alignment horizontal="center" vertical="center"/>
      <protection locked="0"/>
    </xf>
    <xf numFmtId="0" fontId="21" fillId="2" borderId="78" xfId="0" applyFont="1" applyFill="1" applyBorder="1" applyAlignment="1" applyProtection="1">
      <alignment horizontal="center" vertical="center"/>
      <protection locked="0"/>
    </xf>
    <xf numFmtId="0" fontId="21" fillId="2" borderId="79" xfId="0" applyFont="1" applyFill="1" applyBorder="1" applyAlignment="1" applyProtection="1">
      <alignment horizontal="center" vertical="center"/>
      <protection locked="0"/>
    </xf>
    <xf numFmtId="0" fontId="21" fillId="2" borderId="80" xfId="0" applyFont="1" applyFill="1" applyBorder="1" applyAlignment="1" applyProtection="1">
      <alignment horizontal="center" vertical="center"/>
      <protection locked="0"/>
    </xf>
    <xf numFmtId="0" fontId="19" fillId="0" borderId="22" xfId="0" applyFont="1" applyFill="1" applyBorder="1" applyAlignment="1">
      <alignment horizontal="left" vertical="top" wrapText="1"/>
    </xf>
    <xf numFmtId="0" fontId="19" fillId="0" borderId="23" xfId="0" applyFont="1" applyFill="1" applyBorder="1" applyAlignment="1">
      <alignment horizontal="left" vertical="top" wrapText="1"/>
    </xf>
    <xf numFmtId="0" fontId="19" fillId="0" borderId="24" xfId="0" applyFont="1" applyFill="1" applyBorder="1" applyAlignment="1">
      <alignment horizontal="left" vertical="top" wrapText="1"/>
    </xf>
    <xf numFmtId="0" fontId="21" fillId="0" borderId="41" xfId="0" applyFont="1" applyFill="1" applyBorder="1" applyAlignment="1">
      <alignment horizontal="left" vertical="top" wrapText="1"/>
    </xf>
    <xf numFmtId="0" fontId="21" fillId="0" borderId="42" xfId="0" applyFont="1" applyFill="1" applyBorder="1" applyAlignment="1">
      <alignment horizontal="left" vertical="top" wrapText="1"/>
    </xf>
    <xf numFmtId="0" fontId="21" fillId="0" borderId="43" xfId="0" applyFont="1" applyFill="1" applyBorder="1" applyAlignment="1">
      <alignment horizontal="left" vertical="top" wrapText="1"/>
    </xf>
    <xf numFmtId="0" fontId="21" fillId="2" borderId="74" xfId="0" applyFont="1" applyFill="1" applyBorder="1" applyAlignment="1" applyProtection="1">
      <alignment horizontal="center" vertical="center"/>
      <protection locked="0"/>
    </xf>
    <xf numFmtId="0" fontId="21" fillId="2" borderId="33" xfId="0" applyFont="1" applyFill="1" applyBorder="1" applyAlignment="1" applyProtection="1">
      <alignment horizontal="center" vertical="center"/>
      <protection locked="0"/>
    </xf>
    <xf numFmtId="0" fontId="21" fillId="2" borderId="77" xfId="0" applyFont="1" applyFill="1" applyBorder="1" applyAlignment="1" applyProtection="1">
      <alignment horizontal="center" vertical="center"/>
      <protection locked="0"/>
    </xf>
    <xf numFmtId="0" fontId="21" fillId="2" borderId="17" xfId="0" applyFont="1" applyFill="1" applyBorder="1" applyAlignment="1" applyProtection="1">
      <alignment horizontal="center" vertical="center"/>
      <protection locked="0"/>
    </xf>
    <xf numFmtId="0" fontId="21" fillId="2" borderId="12" xfId="0" applyFont="1" applyFill="1" applyBorder="1" applyAlignment="1" applyProtection="1">
      <alignment horizontal="center" vertical="center"/>
      <protection locked="0"/>
    </xf>
    <xf numFmtId="0" fontId="21" fillId="2" borderId="19" xfId="0" applyFont="1" applyFill="1" applyBorder="1" applyAlignment="1" applyProtection="1">
      <alignment horizontal="center" vertical="center"/>
      <protection locked="0"/>
    </xf>
    <xf numFmtId="0" fontId="19" fillId="2" borderId="19" xfId="0" applyFont="1" applyFill="1" applyBorder="1" applyAlignment="1" applyProtection="1">
      <alignment horizontal="center" vertical="top" wrapText="1"/>
      <protection locked="0"/>
    </xf>
    <xf numFmtId="0" fontId="21" fillId="2" borderId="17" xfId="0" applyFont="1" applyFill="1" applyBorder="1" applyAlignment="1" applyProtection="1">
      <alignment horizontal="left" vertical="top" wrapText="1"/>
      <protection locked="0"/>
    </xf>
    <xf numFmtId="0" fontId="21" fillId="2" borderId="12" xfId="0" applyFont="1" applyFill="1" applyBorder="1" applyAlignment="1" applyProtection="1">
      <alignment horizontal="left" vertical="top"/>
      <protection locked="0"/>
    </xf>
    <xf numFmtId="0" fontId="21" fillId="2" borderId="19" xfId="0" applyFont="1" applyFill="1" applyBorder="1" applyAlignment="1" applyProtection="1">
      <alignment horizontal="left" vertical="top"/>
      <protection locked="0"/>
    </xf>
    <xf numFmtId="0" fontId="50" fillId="6" borderId="0" xfId="0" applyFont="1" applyFill="1" applyBorder="1" applyAlignment="1">
      <alignment horizontal="center" vertical="center"/>
    </xf>
    <xf numFmtId="0" fontId="20" fillId="2" borderId="0" xfId="0" applyFont="1" applyFill="1" applyBorder="1" applyAlignment="1">
      <alignment horizontal="justify" vertical="top" wrapText="1"/>
    </xf>
    <xf numFmtId="0" fontId="21" fillId="0" borderId="22" xfId="0" applyFont="1" applyFill="1" applyBorder="1" applyAlignment="1">
      <alignment horizontal="left" vertical="top" wrapText="1"/>
    </xf>
    <xf numFmtId="0" fontId="21" fillId="2" borderId="19" xfId="0" applyFont="1" applyFill="1" applyBorder="1" applyAlignment="1" applyProtection="1">
      <alignment horizontal="center" vertical="top"/>
      <protection locked="0"/>
    </xf>
    <xf numFmtId="0" fontId="21" fillId="0" borderId="21" xfId="0" applyFont="1" applyFill="1" applyBorder="1" applyAlignment="1">
      <alignment horizontal="left" vertical="top" wrapText="1"/>
    </xf>
    <xf numFmtId="0" fontId="21" fillId="2" borderId="23" xfId="0" applyFont="1" applyFill="1" applyBorder="1" applyAlignment="1" applyProtection="1">
      <alignment horizontal="justify" vertical="top" wrapText="1"/>
      <protection locked="0"/>
    </xf>
    <xf numFmtId="0" fontId="21" fillId="2" borderId="24" xfId="0" applyFont="1" applyFill="1" applyBorder="1" applyAlignment="1" applyProtection="1">
      <alignment horizontal="justify" vertical="top" wrapText="1"/>
      <protection locked="0"/>
    </xf>
    <xf numFmtId="0" fontId="21" fillId="2" borderId="104" xfId="0" applyFont="1" applyFill="1" applyBorder="1" applyAlignment="1" applyProtection="1">
      <alignment horizontal="center" vertical="center"/>
      <protection locked="0"/>
    </xf>
    <xf numFmtId="0" fontId="21" fillId="2" borderId="108" xfId="0" applyFont="1" applyFill="1" applyBorder="1" applyAlignment="1" applyProtection="1">
      <alignment horizontal="center" vertical="center"/>
      <protection locked="0"/>
    </xf>
    <xf numFmtId="0" fontId="15" fillId="19" borderId="1" xfId="0" applyFont="1" applyFill="1" applyBorder="1" applyAlignment="1">
      <alignment horizontal="center" vertical="center" wrapText="1"/>
    </xf>
    <xf numFmtId="0" fontId="15" fillId="19" borderId="1" xfId="0" applyFont="1" applyFill="1" applyBorder="1" applyAlignment="1" applyProtection="1">
      <alignment horizontal="center" vertical="center"/>
      <protection locked="0"/>
    </xf>
    <xf numFmtId="0" fontId="19" fillId="2" borderId="104" xfId="0" applyFont="1" applyFill="1" applyBorder="1" applyAlignment="1" applyProtection="1">
      <alignment horizontal="justify" vertical="top" wrapText="1"/>
      <protection locked="0"/>
    </xf>
    <xf numFmtId="0" fontId="19" fillId="2" borderId="108" xfId="0" applyFont="1" applyFill="1" applyBorder="1" applyAlignment="1" applyProtection="1">
      <alignment horizontal="justify" vertical="top" wrapText="1"/>
      <protection locked="0"/>
    </xf>
    <xf numFmtId="0" fontId="21" fillId="2" borderId="23" xfId="0" applyFont="1" applyFill="1" applyBorder="1" applyAlignment="1" applyProtection="1">
      <alignment horizontal="center" vertical="top" wrapText="1"/>
      <protection locked="0"/>
    </xf>
    <xf numFmtId="0" fontId="21" fillId="2" borderId="24" xfId="0" applyFont="1" applyFill="1" applyBorder="1" applyAlignment="1" applyProtection="1">
      <alignment horizontal="center" vertical="top" wrapText="1"/>
      <protection locked="0"/>
    </xf>
    <xf numFmtId="0" fontId="21" fillId="2" borderId="23" xfId="0" applyFont="1" applyFill="1" applyBorder="1" applyAlignment="1" applyProtection="1">
      <alignment horizontal="left" vertical="top" wrapText="1"/>
      <protection locked="0"/>
    </xf>
    <xf numFmtId="0" fontId="21" fillId="2" borderId="24" xfId="0" applyFont="1" applyFill="1" applyBorder="1" applyAlignment="1" applyProtection="1">
      <alignment horizontal="left" vertical="top" wrapText="1"/>
      <protection locked="0"/>
    </xf>
    <xf numFmtId="0" fontId="24" fillId="6" borderId="1" xfId="0" applyFont="1" applyFill="1" applyBorder="1" applyAlignment="1">
      <alignment horizontal="center" vertical="center" textRotation="90" wrapText="1"/>
    </xf>
    <xf numFmtId="0" fontId="24" fillId="6" borderId="2" xfId="0" applyFont="1" applyFill="1" applyBorder="1" applyAlignment="1">
      <alignment horizontal="center" vertical="center" textRotation="90" wrapText="1"/>
    </xf>
    <xf numFmtId="0" fontId="24" fillId="6" borderId="64" xfId="0" applyFont="1" applyFill="1" applyBorder="1" applyAlignment="1">
      <alignment horizontal="center" vertical="center" wrapText="1"/>
    </xf>
    <xf numFmtId="0" fontId="24" fillId="6" borderId="25" xfId="0" applyFont="1" applyFill="1" applyBorder="1" applyAlignment="1">
      <alignment horizontal="center" vertical="center" wrapText="1"/>
    </xf>
    <xf numFmtId="0" fontId="24" fillId="6" borderId="64" xfId="0" applyFont="1" applyFill="1" applyBorder="1" applyAlignment="1" applyProtection="1">
      <alignment horizontal="center" vertical="center" wrapText="1"/>
      <protection locked="0"/>
    </xf>
    <xf numFmtId="0" fontId="24" fillId="6" borderId="25" xfId="0" applyFont="1" applyFill="1" applyBorder="1" applyAlignment="1" applyProtection="1">
      <alignment horizontal="center" vertical="center" wrapText="1"/>
      <protection locked="0"/>
    </xf>
    <xf numFmtId="0" fontId="19" fillId="2" borderId="12" xfId="0" applyFont="1" applyFill="1" applyBorder="1" applyAlignment="1" applyProtection="1">
      <alignment horizontal="center" vertical="top"/>
      <protection locked="0"/>
    </xf>
    <xf numFmtId="0" fontId="19" fillId="2" borderId="19" xfId="0" applyFont="1" applyFill="1" applyBorder="1" applyAlignment="1" applyProtection="1">
      <alignment horizontal="center" vertical="top"/>
      <protection locked="0"/>
    </xf>
    <xf numFmtId="0" fontId="24" fillId="6" borderId="1" xfId="0" applyFont="1" applyFill="1" applyBorder="1" applyAlignment="1" applyProtection="1">
      <alignment horizontal="center" vertical="center" textRotation="90" wrapText="1"/>
      <protection locked="0"/>
    </xf>
    <xf numFmtId="0" fontId="24" fillId="6" borderId="2" xfId="0" applyFont="1" applyFill="1" applyBorder="1" applyAlignment="1" applyProtection="1">
      <alignment horizontal="center" vertical="center" textRotation="90" wrapText="1"/>
      <protection locked="0"/>
    </xf>
    <xf numFmtId="0" fontId="24" fillId="6" borderId="1" xfId="0" applyFont="1" applyFill="1" applyBorder="1" applyAlignment="1" applyProtection="1">
      <alignment horizontal="center" vertical="center"/>
      <protection locked="0"/>
    </xf>
    <xf numFmtId="0" fontId="24" fillId="6" borderId="2" xfId="0" applyFont="1" applyFill="1" applyBorder="1" applyAlignment="1" applyProtection="1">
      <alignment horizontal="center" vertical="center"/>
      <protection locked="0"/>
    </xf>
    <xf numFmtId="0" fontId="24" fillId="6" borderId="1" xfId="0" applyFont="1" applyFill="1" applyBorder="1" applyAlignment="1" applyProtection="1">
      <alignment horizontal="center" vertical="center" wrapText="1"/>
      <protection locked="0"/>
    </xf>
    <xf numFmtId="0" fontId="24" fillId="6" borderId="2" xfId="0" applyFont="1" applyFill="1" applyBorder="1" applyAlignment="1">
      <alignment horizontal="center" vertical="center" wrapText="1"/>
    </xf>
    <xf numFmtId="0" fontId="24" fillId="6" borderId="26" xfId="0" applyFont="1" applyFill="1" applyBorder="1" applyAlignment="1">
      <alignment horizontal="center" vertical="center" wrapText="1"/>
    </xf>
    <xf numFmtId="0" fontId="25" fillId="6" borderId="1" xfId="0" applyFont="1" applyFill="1" applyBorder="1" applyAlignment="1">
      <alignment horizontal="left" vertical="center" wrapText="1"/>
    </xf>
    <xf numFmtId="0" fontId="25" fillId="6" borderId="2" xfId="0" applyFont="1" applyFill="1" applyBorder="1" applyAlignment="1">
      <alignment horizontal="left" vertical="center" wrapText="1"/>
    </xf>
    <xf numFmtId="0" fontId="19" fillId="2" borderId="17" xfId="0" applyFont="1" applyFill="1" applyBorder="1" applyAlignment="1" applyProtection="1">
      <alignment horizontal="left" vertical="top" wrapText="1"/>
      <protection locked="0"/>
    </xf>
    <xf numFmtId="0" fontId="19" fillId="2" borderId="12" xfId="0" applyFont="1" applyFill="1" applyBorder="1" applyAlignment="1" applyProtection="1">
      <alignment horizontal="left" vertical="top"/>
      <protection locked="0"/>
    </xf>
    <xf numFmtId="0" fontId="19" fillId="2" borderId="19" xfId="0" applyFont="1" applyFill="1" applyBorder="1" applyAlignment="1" applyProtection="1">
      <alignment horizontal="left" vertical="top"/>
      <protection locked="0"/>
    </xf>
    <xf numFmtId="0" fontId="19" fillId="2" borderId="17" xfId="0" applyFont="1" applyFill="1" applyBorder="1" applyAlignment="1" applyProtection="1">
      <alignment horizontal="justify" vertical="top" wrapText="1"/>
      <protection locked="0"/>
    </xf>
    <xf numFmtId="0" fontId="19" fillId="2" borderId="12" xfId="0" applyFont="1" applyFill="1" applyBorder="1" applyAlignment="1" applyProtection="1">
      <alignment horizontal="justify" vertical="top"/>
      <protection locked="0"/>
    </xf>
    <xf numFmtId="0" fontId="19" fillId="2" borderId="19" xfId="0" applyFont="1" applyFill="1" applyBorder="1" applyAlignment="1" applyProtection="1">
      <alignment horizontal="justify" vertical="top"/>
      <protection locked="0"/>
    </xf>
    <xf numFmtId="0" fontId="25" fillId="6" borderId="6" xfId="0" applyFont="1" applyFill="1" applyBorder="1" applyAlignment="1">
      <alignment horizontal="left" vertical="center" wrapText="1"/>
    </xf>
    <xf numFmtId="0" fontId="25" fillId="6" borderId="7" xfId="0" applyFont="1" applyFill="1" applyBorder="1" applyAlignment="1">
      <alignment horizontal="left" vertical="center" wrapText="1"/>
    </xf>
    <xf numFmtId="0" fontId="53" fillId="2" borderId="19" xfId="0" applyFont="1" applyFill="1" applyBorder="1" applyAlignment="1" applyProtection="1">
      <alignment horizontal="center" vertical="top"/>
      <protection locked="0"/>
    </xf>
    <xf numFmtId="0" fontId="21" fillId="2" borderId="24" xfId="0" applyFont="1" applyFill="1" applyBorder="1" applyAlignment="1" applyProtection="1">
      <alignment horizontal="center" vertical="top"/>
      <protection locked="0"/>
    </xf>
    <xf numFmtId="0" fontId="21" fillId="2" borderId="16" xfId="0" applyFont="1" applyFill="1" applyBorder="1" applyAlignment="1">
      <alignment horizontal="left" vertical="top" wrapText="1"/>
    </xf>
    <xf numFmtId="0" fontId="21" fillId="2" borderId="14" xfId="0" applyFont="1" applyFill="1" applyBorder="1" applyAlignment="1">
      <alignment horizontal="left" vertical="top" wrapText="1"/>
    </xf>
    <xf numFmtId="0" fontId="21" fillId="2" borderId="15" xfId="0" applyFont="1" applyFill="1" applyBorder="1" applyAlignment="1">
      <alignment horizontal="left" vertical="top" wrapText="1"/>
    </xf>
    <xf numFmtId="0" fontId="19" fillId="0" borderId="16" xfId="0" applyFont="1" applyFill="1" applyBorder="1" applyAlignment="1">
      <alignment horizontal="left" vertical="top" wrapText="1"/>
    </xf>
    <xf numFmtId="0" fontId="19" fillId="0" borderId="14" xfId="0" applyFont="1" applyFill="1" applyBorder="1" applyAlignment="1">
      <alignment horizontal="left" vertical="top" wrapText="1"/>
    </xf>
    <xf numFmtId="0" fontId="19" fillId="0" borderId="15" xfId="0" applyFont="1" applyFill="1" applyBorder="1" applyAlignment="1">
      <alignment horizontal="left" vertical="top" wrapText="1"/>
    </xf>
    <xf numFmtId="0" fontId="21" fillId="2" borderId="0" xfId="0" applyFont="1" applyFill="1" applyBorder="1" applyAlignment="1">
      <alignment horizontal="left" vertical="center" wrapText="1"/>
    </xf>
    <xf numFmtId="0" fontId="21" fillId="2" borderId="0" xfId="0" applyFont="1" applyFill="1" applyBorder="1" applyAlignment="1">
      <alignment horizontal="center"/>
    </xf>
    <xf numFmtId="164" fontId="21" fillId="2" borderId="0" xfId="0" applyNumberFormat="1" applyFont="1" applyFill="1" applyBorder="1" applyAlignment="1">
      <alignment horizontal="center"/>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1" xfId="0" applyFont="1" applyFill="1" applyBorder="1" applyAlignment="1">
      <alignment horizontal="center" vertical="center" wrapText="1"/>
    </xf>
    <xf numFmtId="0" fontId="24" fillId="6" borderId="4" xfId="0" applyFont="1" applyFill="1" applyBorder="1" applyAlignment="1">
      <alignment horizontal="center" vertical="center"/>
    </xf>
    <xf numFmtId="0" fontId="24" fillId="6" borderId="5" xfId="0" applyFont="1" applyFill="1" applyBorder="1" applyAlignment="1">
      <alignment horizontal="center" vertical="center"/>
    </xf>
    <xf numFmtId="0" fontId="24" fillId="6" borderId="73" xfId="0" applyFont="1" applyFill="1" applyBorder="1" applyAlignment="1">
      <alignment horizontal="center" vertical="center"/>
    </xf>
    <xf numFmtId="0" fontId="19" fillId="0" borderId="16" xfId="0" applyFont="1" applyFill="1" applyBorder="1" applyAlignment="1" applyProtection="1">
      <alignment horizontal="left" vertical="top" wrapText="1"/>
      <protection locked="0"/>
    </xf>
    <xf numFmtId="0" fontId="19" fillId="0" borderId="14" xfId="0" applyFont="1" applyFill="1" applyBorder="1" applyAlignment="1" applyProtection="1">
      <alignment horizontal="left" vertical="top" wrapText="1"/>
      <protection locked="0"/>
    </xf>
    <xf numFmtId="0" fontId="19" fillId="0" borderId="15" xfId="0" applyFont="1" applyFill="1" applyBorder="1" applyAlignment="1" applyProtection="1">
      <alignment horizontal="left" vertical="top" wrapText="1"/>
      <protection locked="0"/>
    </xf>
    <xf numFmtId="0" fontId="19" fillId="2" borderId="22" xfId="0" applyFont="1" applyFill="1" applyBorder="1" applyAlignment="1" applyProtection="1">
      <alignment horizontal="center" vertical="top" wrapText="1"/>
      <protection locked="0"/>
    </xf>
    <xf numFmtId="0" fontId="21" fillId="2" borderId="1" xfId="0" applyFont="1" applyFill="1" applyBorder="1" applyAlignment="1" applyProtection="1">
      <alignment horizontal="center" vertical="center" wrapText="1"/>
      <protection hidden="1"/>
    </xf>
    <xf numFmtId="0" fontId="15" fillId="19" borderId="1" xfId="0" applyFont="1" applyFill="1" applyBorder="1" applyAlignment="1" applyProtection="1">
      <alignment horizontal="center" vertical="center" wrapText="1"/>
      <protection hidden="1"/>
    </xf>
    <xf numFmtId="0" fontId="21" fillId="2" borderId="90" xfId="0" applyFont="1" applyFill="1" applyBorder="1" applyAlignment="1" applyProtection="1">
      <alignment horizontal="center" vertical="center" wrapText="1"/>
      <protection hidden="1"/>
    </xf>
    <xf numFmtId="0" fontId="24" fillId="6" borderId="1" xfId="0" applyFont="1" applyFill="1" applyBorder="1" applyAlignment="1" applyProtection="1">
      <alignment horizontal="center" vertical="center" textRotation="90" wrapText="1"/>
      <protection hidden="1"/>
    </xf>
    <xf numFmtId="0" fontId="24" fillId="6" borderId="2" xfId="0" applyFont="1" applyFill="1" applyBorder="1" applyAlignment="1" applyProtection="1">
      <alignment horizontal="center" vertical="center" textRotation="90" wrapText="1"/>
      <protection hidden="1"/>
    </xf>
    <xf numFmtId="0" fontId="24" fillId="6" borderId="3" xfId="0" applyFont="1" applyFill="1" applyBorder="1" applyAlignment="1" applyProtection="1">
      <alignment horizontal="center" vertical="center" textRotation="90" wrapText="1"/>
      <protection hidden="1"/>
    </xf>
    <xf numFmtId="0" fontId="21" fillId="2" borderId="3" xfId="0" applyFont="1" applyFill="1" applyBorder="1" applyAlignment="1" applyProtection="1">
      <alignment horizontal="center" vertical="center" wrapText="1"/>
      <protection hidden="1"/>
    </xf>
    <xf numFmtId="0" fontId="21" fillId="19" borderId="1" xfId="0" applyFont="1" applyFill="1" applyBorder="1" applyAlignment="1" applyProtection="1">
      <alignment horizontal="left" vertical="top" wrapText="1"/>
    </xf>
    <xf numFmtId="0" fontId="24" fillId="6" borderId="1" xfId="0" applyFont="1" applyFill="1" applyBorder="1" applyAlignment="1" applyProtection="1">
      <alignment horizontal="left" vertical="center" wrapText="1"/>
    </xf>
    <xf numFmtId="0" fontId="24" fillId="6" borderId="2" xfId="0" applyFont="1" applyFill="1" applyBorder="1" applyAlignment="1" applyProtection="1">
      <alignment horizontal="left" vertical="center" wrapText="1"/>
    </xf>
    <xf numFmtId="0" fontId="21" fillId="0" borderId="16" xfId="0" applyFont="1" applyFill="1" applyBorder="1" applyAlignment="1" applyProtection="1">
      <alignment horizontal="left" vertical="top" wrapText="1"/>
    </xf>
    <xf numFmtId="0" fontId="21" fillId="0" borderId="14" xfId="0" applyFont="1" applyFill="1" applyBorder="1" applyAlignment="1" applyProtection="1">
      <alignment horizontal="left" vertical="top" wrapText="1"/>
    </xf>
    <xf numFmtId="0" fontId="21" fillId="0" borderId="15" xfId="0" applyFont="1" applyFill="1" applyBorder="1" applyAlignment="1" applyProtection="1">
      <alignment horizontal="left" vertical="top" wrapText="1"/>
    </xf>
    <xf numFmtId="0" fontId="25" fillId="6" borderId="1" xfId="0" applyFont="1" applyFill="1" applyBorder="1" applyAlignment="1" applyProtection="1">
      <alignment horizontal="left" vertical="center" wrapText="1"/>
    </xf>
    <xf numFmtId="0" fontId="25" fillId="6" borderId="2" xfId="0" applyFont="1" applyFill="1" applyBorder="1" applyAlignment="1" applyProtection="1">
      <alignment horizontal="left" vertical="center" wrapText="1"/>
    </xf>
    <xf numFmtId="0" fontId="21" fillId="0" borderId="21" xfId="0" applyFont="1" applyFill="1" applyBorder="1" applyAlignment="1" applyProtection="1">
      <alignment horizontal="left" vertical="top" wrapText="1"/>
    </xf>
    <xf numFmtId="0" fontId="19" fillId="6" borderId="1" xfId="0" applyFont="1" applyFill="1" applyBorder="1" applyAlignment="1" applyProtection="1">
      <alignment horizontal="left" vertical="center" wrapText="1"/>
    </xf>
    <xf numFmtId="0" fontId="19" fillId="6" borderId="2" xfId="0" applyFont="1" applyFill="1" applyBorder="1" applyAlignment="1" applyProtection="1">
      <alignment horizontal="left" vertical="center" wrapText="1"/>
    </xf>
    <xf numFmtId="0" fontId="19" fillId="6" borderId="6" xfId="0" applyFont="1" applyFill="1" applyBorder="1" applyAlignment="1" applyProtection="1">
      <alignment horizontal="left" vertical="center" wrapText="1"/>
    </xf>
    <xf numFmtId="0" fontId="19" fillId="6" borderId="7" xfId="0" applyFont="1" applyFill="1" applyBorder="1" applyAlignment="1" applyProtection="1">
      <alignment horizontal="left" vertical="center" wrapText="1"/>
    </xf>
    <xf numFmtId="0" fontId="24" fillId="2" borderId="0" xfId="0" applyFont="1" applyFill="1" applyBorder="1" applyAlignment="1">
      <alignment horizontal="center" vertical="center" textRotation="90" wrapText="1"/>
    </xf>
    <xf numFmtId="0" fontId="25" fillId="2" borderId="0" xfId="0" applyFont="1" applyFill="1" applyBorder="1" applyAlignment="1" applyProtection="1">
      <alignment horizontal="center" vertical="center" wrapText="1"/>
      <protection hidden="1"/>
    </xf>
    <xf numFmtId="0" fontId="24" fillId="2" borderId="0" xfId="0" applyFont="1" applyFill="1" applyBorder="1" applyAlignment="1" applyProtection="1">
      <alignment horizontal="center" vertical="center" textRotation="90" wrapText="1"/>
      <protection hidden="1"/>
    </xf>
    <xf numFmtId="2" fontId="53" fillId="2" borderId="0" xfId="0" applyNumberFormat="1" applyFont="1" applyFill="1" applyBorder="1" applyAlignment="1">
      <alignment horizontal="center" vertical="center" wrapText="1"/>
    </xf>
    <xf numFmtId="2" fontId="54" fillId="2" borderId="0" xfId="0" applyNumberFormat="1" applyFont="1" applyFill="1" applyBorder="1" applyAlignment="1">
      <alignment horizontal="center" vertical="center" textRotation="90" wrapText="1"/>
    </xf>
    <xf numFmtId="165" fontId="53" fillId="2" borderId="0" xfId="0" applyNumberFormat="1" applyFont="1" applyFill="1" applyBorder="1" applyAlignment="1">
      <alignment horizontal="center" vertical="center" wrapText="1"/>
    </xf>
    <xf numFmtId="166" fontId="53" fillId="2" borderId="0" xfId="0" applyNumberFormat="1" applyFont="1" applyFill="1" applyBorder="1" applyAlignment="1">
      <alignment horizontal="center" vertical="center" wrapText="1"/>
    </xf>
    <xf numFmtId="0" fontId="21" fillId="2" borderId="2" xfId="0" applyFont="1" applyFill="1" applyBorder="1" applyAlignment="1" applyProtection="1">
      <alignment horizontal="center" vertical="center" wrapText="1"/>
      <protection hidden="1"/>
    </xf>
    <xf numFmtId="0" fontId="21" fillId="2" borderId="25" xfId="0" applyFont="1" applyFill="1" applyBorder="1" applyAlignment="1" applyProtection="1">
      <alignment horizontal="center" vertical="center" wrapText="1"/>
      <protection hidden="1"/>
    </xf>
    <xf numFmtId="0" fontId="21" fillId="2" borderId="26" xfId="0" applyFont="1" applyFill="1" applyBorder="1" applyAlignment="1" applyProtection="1">
      <alignment horizontal="center" vertical="center" wrapText="1"/>
      <protection hidden="1"/>
    </xf>
    <xf numFmtId="0" fontId="19" fillId="2" borderId="23" xfId="0" applyFont="1" applyFill="1" applyBorder="1" applyAlignment="1" applyProtection="1">
      <alignment horizontal="center" vertical="top"/>
      <protection locked="0"/>
    </xf>
    <xf numFmtId="0" fontId="19" fillId="2" borderId="24" xfId="0" applyFont="1" applyFill="1" applyBorder="1" applyAlignment="1" applyProtection="1">
      <alignment horizontal="center" vertical="top"/>
      <protection locked="0"/>
    </xf>
    <xf numFmtId="0" fontId="56" fillId="2" borderId="17" xfId="0" applyFont="1" applyFill="1" applyBorder="1" applyAlignment="1" applyProtection="1">
      <alignment horizontal="justify" vertical="top" wrapText="1"/>
      <protection locked="0"/>
    </xf>
    <xf numFmtId="0" fontId="21" fillId="2" borderId="12" xfId="0" applyFont="1" applyFill="1" applyBorder="1" applyAlignment="1" applyProtection="1">
      <alignment horizontal="justify" vertical="top" wrapText="1"/>
      <protection locked="0"/>
    </xf>
    <xf numFmtId="0" fontId="21" fillId="2" borderId="19" xfId="0" applyFont="1" applyFill="1" applyBorder="1" applyAlignment="1" applyProtection="1">
      <alignment horizontal="justify" vertical="top" wrapText="1"/>
      <protection locked="0"/>
    </xf>
    <xf numFmtId="0" fontId="19" fillId="2" borderId="22" xfId="0" applyFont="1" applyFill="1" applyBorder="1" applyAlignment="1" applyProtection="1">
      <alignment horizontal="center" vertical="center"/>
      <protection locked="0"/>
    </xf>
    <xf numFmtId="0" fontId="19" fillId="2" borderId="23" xfId="0" applyFont="1" applyFill="1" applyBorder="1" applyAlignment="1" applyProtection="1">
      <alignment horizontal="center" vertical="center"/>
      <protection locked="0"/>
    </xf>
    <xf numFmtId="0" fontId="19" fillId="2" borderId="24" xfId="0" applyFont="1" applyFill="1" applyBorder="1" applyAlignment="1" applyProtection="1">
      <alignment horizontal="center" vertical="center"/>
      <protection locked="0"/>
    </xf>
    <xf numFmtId="0" fontId="21" fillId="2" borderId="107" xfId="0" applyFont="1" applyFill="1" applyBorder="1" applyAlignment="1" applyProtection="1">
      <alignment horizontal="center" vertical="center" wrapText="1"/>
      <protection hidden="1"/>
    </xf>
    <xf numFmtId="0" fontId="21" fillId="2" borderId="104" xfId="0" applyFont="1" applyFill="1" applyBorder="1" applyAlignment="1" applyProtection="1">
      <alignment horizontal="center" vertical="center" wrapText="1"/>
      <protection hidden="1"/>
    </xf>
    <xf numFmtId="0" fontId="21" fillId="2" borderId="108" xfId="0" applyFont="1" applyFill="1" applyBorder="1" applyAlignment="1" applyProtection="1">
      <alignment horizontal="center" vertical="center" wrapText="1"/>
      <protection hidden="1"/>
    </xf>
    <xf numFmtId="0" fontId="21" fillId="2" borderId="17" xfId="0" applyFont="1" applyFill="1" applyBorder="1" applyAlignment="1" applyProtection="1">
      <alignment horizontal="justify" vertical="top" wrapText="1"/>
      <protection locked="0"/>
    </xf>
    <xf numFmtId="0" fontId="21" fillId="0" borderId="16" xfId="0" applyFont="1" applyFill="1" applyBorder="1" applyAlignment="1">
      <alignment vertical="top" wrapText="1"/>
    </xf>
    <xf numFmtId="0" fontId="21" fillId="0" borderId="14" xfId="0" applyFont="1" applyFill="1" applyBorder="1" applyAlignment="1">
      <alignment vertical="top" wrapText="1"/>
    </xf>
    <xf numFmtId="0" fontId="21" fillId="0" borderId="15" xfId="0" applyFont="1" applyFill="1" applyBorder="1" applyAlignment="1">
      <alignment vertical="top" wrapText="1"/>
    </xf>
    <xf numFmtId="2" fontId="24" fillId="2" borderId="0" xfId="0" applyNumberFormat="1" applyFont="1" applyFill="1" applyBorder="1" applyAlignment="1">
      <alignment horizontal="center" vertical="center" textRotation="90" wrapText="1"/>
    </xf>
    <xf numFmtId="2" fontId="25" fillId="2" borderId="0" xfId="0" applyNumberFormat="1" applyFont="1" applyFill="1" applyBorder="1" applyAlignment="1" applyProtection="1">
      <alignment horizontal="center" vertical="center" wrapText="1"/>
      <protection hidden="1"/>
    </xf>
    <xf numFmtId="165" fontId="25" fillId="2" borderId="0" xfId="0" applyNumberFormat="1" applyFont="1" applyFill="1" applyBorder="1" applyAlignment="1" applyProtection="1">
      <alignment horizontal="center" vertical="center" wrapText="1"/>
      <protection hidden="1"/>
    </xf>
    <xf numFmtId="166" fontId="25" fillId="2" borderId="0" xfId="0" applyNumberFormat="1" applyFont="1" applyFill="1" applyBorder="1" applyAlignment="1" applyProtection="1">
      <alignment horizontal="center" vertical="center" wrapText="1"/>
      <protection hidden="1"/>
    </xf>
    <xf numFmtId="2" fontId="24" fillId="2" borderId="0" xfId="0" applyNumberFormat="1" applyFont="1" applyFill="1" applyBorder="1" applyAlignment="1" applyProtection="1">
      <alignment horizontal="center" vertical="center" textRotation="90" wrapText="1"/>
      <protection hidden="1"/>
    </xf>
    <xf numFmtId="0" fontId="53" fillId="0" borderId="22" xfId="0" applyFont="1" applyFill="1" applyBorder="1" applyAlignment="1" applyProtection="1">
      <alignment horizontal="left" vertical="top" wrapText="1"/>
      <protection locked="0"/>
    </xf>
    <xf numFmtId="0" fontId="22" fillId="2" borderId="23" xfId="0" applyFont="1" applyFill="1" applyBorder="1" applyAlignment="1" applyProtection="1">
      <alignment horizontal="center" vertical="top" wrapText="1"/>
      <protection locked="0"/>
    </xf>
    <xf numFmtId="0" fontId="22" fillId="2" borderId="22" xfId="0" applyFont="1" applyFill="1" applyBorder="1" applyAlignment="1" applyProtection="1">
      <alignment horizontal="center" vertical="center"/>
      <protection locked="0"/>
    </xf>
    <xf numFmtId="0" fontId="22" fillId="2" borderId="23" xfId="0" applyFont="1" applyFill="1" applyBorder="1" applyAlignment="1" applyProtection="1">
      <alignment horizontal="center" vertical="center"/>
      <protection locked="0"/>
    </xf>
    <xf numFmtId="0" fontId="22" fillId="2" borderId="24" xfId="0" applyFont="1" applyFill="1" applyBorder="1" applyAlignment="1" applyProtection="1">
      <alignment horizontal="center" vertical="center"/>
      <protection locked="0"/>
    </xf>
    <xf numFmtId="0" fontId="21" fillId="2" borderId="22" xfId="0" applyFont="1" applyFill="1" applyBorder="1" applyAlignment="1" applyProtection="1">
      <alignment horizontal="center" vertical="center" wrapText="1"/>
      <protection locked="0"/>
    </xf>
    <xf numFmtId="0" fontId="21" fillId="2" borderId="23" xfId="0" applyFont="1" applyFill="1" applyBorder="1" applyAlignment="1" applyProtection="1">
      <alignment horizontal="center" vertical="center" wrapText="1"/>
      <protection locked="0"/>
    </xf>
    <xf numFmtId="0" fontId="21" fillId="2" borderId="24" xfId="0" applyFont="1" applyFill="1" applyBorder="1" applyAlignment="1" applyProtection="1">
      <alignment horizontal="center" vertical="center" wrapText="1"/>
      <protection locked="0"/>
    </xf>
    <xf numFmtId="0" fontId="53" fillId="2" borderId="22" xfId="0" applyFont="1" applyFill="1" applyBorder="1" applyAlignment="1" applyProtection="1">
      <alignment horizontal="center" vertical="top" wrapText="1"/>
      <protection locked="0"/>
    </xf>
    <xf numFmtId="0" fontId="24" fillId="5" borderId="2" xfId="0" applyFont="1" applyFill="1" applyBorder="1" applyAlignment="1" applyProtection="1">
      <alignment horizontal="center" vertical="center" wrapText="1"/>
      <protection locked="0"/>
    </xf>
    <xf numFmtId="0" fontId="24" fillId="5" borderId="26" xfId="0" applyFont="1" applyFill="1" applyBorder="1" applyAlignment="1" applyProtection="1">
      <alignment horizontal="center" vertical="center"/>
      <protection locked="0"/>
    </xf>
    <xf numFmtId="0" fontId="53" fillId="2" borderId="17" xfId="0" applyFont="1" applyFill="1" applyBorder="1" applyAlignment="1" applyProtection="1">
      <alignment horizontal="justify" vertical="top" wrapText="1"/>
      <protection locked="0"/>
    </xf>
    <xf numFmtId="0" fontId="53" fillId="2" borderId="12" xfId="0" applyFont="1" applyFill="1" applyBorder="1" applyAlignment="1" applyProtection="1">
      <alignment horizontal="justify" vertical="top" wrapText="1"/>
      <protection locked="0"/>
    </xf>
    <xf numFmtId="0" fontId="53" fillId="2" borderId="19" xfId="0" applyFont="1" applyFill="1" applyBorder="1" applyAlignment="1" applyProtection="1">
      <alignment horizontal="justify" vertical="top" wrapText="1"/>
      <protection locked="0"/>
    </xf>
    <xf numFmtId="0" fontId="21" fillId="2" borderId="22" xfId="0" applyFont="1" applyFill="1" applyBorder="1" applyAlignment="1" applyProtection="1">
      <alignment horizontal="justify" vertical="top" wrapText="1"/>
      <protection locked="0"/>
    </xf>
    <xf numFmtId="0" fontId="22" fillId="2" borderId="24" xfId="0" applyFont="1" applyFill="1" applyBorder="1" applyAlignment="1" applyProtection="1">
      <alignment horizontal="center" vertical="top" wrapText="1"/>
      <protection locked="0"/>
    </xf>
    <xf numFmtId="0" fontId="53" fillId="0" borderId="0" xfId="0" applyFont="1" applyFill="1" applyBorder="1" applyAlignment="1">
      <alignment horizontal="center" vertical="center" wrapText="1"/>
    </xf>
    <xf numFmtId="0" fontId="54" fillId="0" borderId="0" xfId="0" applyFont="1" applyFill="1" applyBorder="1" applyAlignment="1">
      <alignment horizontal="center" vertical="center" textRotation="90" wrapText="1"/>
    </xf>
    <xf numFmtId="0" fontId="25" fillId="0" borderId="0" xfId="0" applyFont="1" applyFill="1" applyBorder="1" applyAlignment="1" applyProtection="1">
      <alignment horizontal="center" vertical="center" wrapText="1"/>
      <protection hidden="1"/>
    </xf>
    <xf numFmtId="2" fontId="54" fillId="0" borderId="0" xfId="0" applyNumberFormat="1" applyFont="1" applyFill="1" applyBorder="1" applyAlignment="1">
      <alignment horizontal="center" vertical="center" textRotation="90" wrapText="1"/>
    </xf>
    <xf numFmtId="2" fontId="25" fillId="0" borderId="0" xfId="0" applyNumberFormat="1" applyFont="1" applyFill="1" applyBorder="1" applyAlignment="1" applyProtection="1">
      <alignment horizontal="center" vertical="center" wrapText="1"/>
      <protection hidden="1"/>
    </xf>
    <xf numFmtId="2" fontId="53" fillId="0" borderId="0" xfId="0" applyNumberFormat="1" applyFont="1" applyFill="1" applyBorder="1" applyAlignment="1">
      <alignment horizontal="center" vertical="center" wrapText="1"/>
    </xf>
    <xf numFmtId="0" fontId="24" fillId="0" borderId="0" xfId="0" applyFont="1" applyFill="1" applyBorder="1" applyAlignment="1" applyProtection="1">
      <alignment horizontal="center" vertical="center" textRotation="90" wrapText="1"/>
      <protection hidden="1"/>
    </xf>
    <xf numFmtId="0" fontId="24" fillId="0" borderId="0" xfId="0" applyFont="1" applyFill="1" applyBorder="1" applyAlignment="1">
      <alignment horizontal="center" vertical="center" textRotation="90" wrapText="1"/>
    </xf>
    <xf numFmtId="0" fontId="21" fillId="9" borderId="16" xfId="0" applyFont="1" applyFill="1" applyBorder="1" applyAlignment="1">
      <alignment horizontal="left" vertical="top" wrapText="1"/>
    </xf>
    <xf numFmtId="0" fontId="21" fillId="9" borderId="14" xfId="0" applyFont="1" applyFill="1" applyBorder="1" applyAlignment="1">
      <alignment horizontal="left" vertical="top" wrapText="1"/>
    </xf>
    <xf numFmtId="0" fontId="21" fillId="9" borderId="15" xfId="0" applyFont="1" applyFill="1" applyBorder="1" applyAlignment="1">
      <alignment horizontal="left" vertical="top" wrapText="1"/>
    </xf>
    <xf numFmtId="0" fontId="24" fillId="5" borderId="1" xfId="0" applyFont="1" applyFill="1" applyBorder="1" applyAlignment="1" applyProtection="1">
      <alignment horizontal="center" vertical="center" textRotation="90" wrapText="1"/>
      <protection locked="0"/>
    </xf>
    <xf numFmtId="0" fontId="24" fillId="5" borderId="2" xfId="0" applyFont="1" applyFill="1" applyBorder="1" applyAlignment="1" applyProtection="1">
      <alignment horizontal="center" vertical="center" textRotation="90" wrapText="1"/>
      <protection locked="0"/>
    </xf>
    <xf numFmtId="0" fontId="19" fillId="9" borderId="16" xfId="0" applyFont="1" applyFill="1" applyBorder="1" applyAlignment="1">
      <alignment horizontal="left" vertical="top" wrapText="1"/>
    </xf>
    <xf numFmtId="0" fontId="19" fillId="9" borderId="14" xfId="0" applyFont="1" applyFill="1" applyBorder="1" applyAlignment="1">
      <alignment horizontal="left" vertical="top" wrapText="1"/>
    </xf>
    <xf numFmtId="0" fontId="19" fillId="9" borderId="15" xfId="0" applyFont="1" applyFill="1" applyBorder="1" applyAlignment="1">
      <alignment horizontal="left" vertical="top" wrapText="1"/>
    </xf>
    <xf numFmtId="0" fontId="19" fillId="0" borderId="22" xfId="0" quotePrefix="1" applyFont="1" applyFill="1" applyBorder="1" applyAlignment="1">
      <alignment horizontal="left" vertical="top" wrapText="1"/>
    </xf>
    <xf numFmtId="0" fontId="24" fillId="5" borderId="25" xfId="0" applyFont="1" applyFill="1" applyBorder="1" applyAlignment="1" applyProtection="1">
      <alignment horizontal="center" vertical="center" wrapText="1"/>
      <protection locked="0"/>
    </xf>
    <xf numFmtId="0" fontId="24" fillId="5" borderId="26" xfId="0" applyFont="1" applyFill="1" applyBorder="1" applyAlignment="1" applyProtection="1">
      <alignment horizontal="center" vertical="center" wrapText="1"/>
      <protection locked="0"/>
    </xf>
    <xf numFmtId="0" fontId="24" fillId="5" borderId="1" xfId="0" applyFont="1" applyFill="1" applyBorder="1" applyAlignment="1" applyProtection="1">
      <alignment horizontal="center" vertical="center"/>
      <protection locked="0"/>
    </xf>
    <xf numFmtId="0" fontId="24" fillId="5" borderId="2" xfId="0" applyFont="1" applyFill="1" applyBorder="1" applyAlignment="1" applyProtection="1">
      <alignment horizontal="center" vertical="center"/>
      <protection locked="0"/>
    </xf>
    <xf numFmtId="0" fontId="24" fillId="5" borderId="1" xfId="0" applyFont="1" applyFill="1" applyBorder="1" applyAlignment="1">
      <alignment horizontal="center" vertical="center"/>
    </xf>
    <xf numFmtId="0" fontId="24" fillId="5" borderId="2" xfId="0" applyFont="1" applyFill="1" applyBorder="1" applyAlignment="1">
      <alignment horizontal="center" vertical="center"/>
    </xf>
    <xf numFmtId="0" fontId="53" fillId="2" borderId="12" xfId="0" applyFont="1" applyFill="1" applyBorder="1" applyAlignment="1" applyProtection="1">
      <alignment horizontal="center" vertical="top" wrapText="1"/>
      <protection locked="0"/>
    </xf>
    <xf numFmtId="0" fontId="53" fillId="2" borderId="19" xfId="0" applyFont="1" applyFill="1" applyBorder="1" applyAlignment="1" applyProtection="1">
      <alignment horizontal="center" vertical="top" wrapText="1"/>
      <protection locked="0"/>
    </xf>
    <xf numFmtId="0" fontId="24" fillId="5" borderId="1" xfId="0" applyFont="1" applyFill="1" applyBorder="1" applyAlignment="1">
      <alignment horizontal="left" vertical="top" wrapText="1"/>
    </xf>
    <xf numFmtId="0" fontId="25" fillId="5" borderId="1" xfId="0" applyFont="1" applyFill="1" applyBorder="1" applyAlignment="1">
      <alignment horizontal="left" vertical="top" wrapText="1"/>
    </xf>
    <xf numFmtId="0" fontId="25" fillId="5" borderId="2" xfId="0" applyFont="1" applyFill="1" applyBorder="1" applyAlignment="1">
      <alignment horizontal="left" vertical="top" wrapText="1"/>
    </xf>
    <xf numFmtId="0" fontId="24" fillId="5" borderId="1" xfId="0" applyFont="1" applyFill="1" applyBorder="1" applyAlignment="1">
      <alignment horizontal="left" vertical="center" wrapText="1"/>
    </xf>
    <xf numFmtId="0" fontId="25" fillId="5" borderId="1"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24" fillId="5" borderId="2" xfId="0" applyFont="1" applyFill="1" applyBorder="1" applyAlignment="1">
      <alignment horizontal="center" vertical="center" wrapText="1"/>
    </xf>
    <xf numFmtId="0" fontId="24" fillId="5" borderId="25" xfId="0" applyFont="1" applyFill="1" applyBorder="1" applyAlignment="1">
      <alignment horizontal="center" vertical="center" wrapText="1"/>
    </xf>
    <xf numFmtId="0" fontId="24" fillId="5" borderId="26" xfId="0" applyFont="1" applyFill="1" applyBorder="1" applyAlignment="1">
      <alignment horizontal="center" vertical="center" wrapText="1"/>
    </xf>
    <xf numFmtId="0" fontId="24" fillId="5" borderId="4" xfId="0" applyFont="1" applyFill="1" applyBorder="1" applyAlignment="1" applyProtection="1">
      <alignment horizontal="center" vertical="center"/>
      <protection locked="0"/>
    </xf>
    <xf numFmtId="0" fontId="24" fillId="5" borderId="5" xfId="0" applyFont="1" applyFill="1" applyBorder="1" applyAlignment="1" applyProtection="1">
      <alignment horizontal="center" vertical="center"/>
      <protection locked="0"/>
    </xf>
    <xf numFmtId="0" fontId="19" fillId="2" borderId="22" xfId="0" applyFont="1" applyFill="1" applyBorder="1" applyAlignment="1">
      <alignment horizontal="left" vertical="top" wrapText="1"/>
    </xf>
    <xf numFmtId="0" fontId="19" fillId="2" borderId="23" xfId="0" applyFont="1" applyFill="1" applyBorder="1" applyAlignment="1">
      <alignment horizontal="left" vertical="top" wrapText="1"/>
    </xf>
    <xf numFmtId="0" fontId="19" fillId="2" borderId="24" xfId="0" applyFont="1" applyFill="1" applyBorder="1" applyAlignment="1">
      <alignment horizontal="left" vertical="top" wrapText="1"/>
    </xf>
    <xf numFmtId="0" fontId="21" fillId="2" borderId="17" xfId="0" applyFont="1" applyFill="1" applyBorder="1" applyAlignment="1" applyProtection="1">
      <alignment horizontal="center" vertical="center" wrapText="1"/>
      <protection locked="0"/>
    </xf>
    <xf numFmtId="0" fontId="21" fillId="2" borderId="12" xfId="0" applyFont="1" applyFill="1" applyBorder="1" applyAlignment="1" applyProtection="1">
      <alignment horizontal="justify" vertical="top"/>
      <protection locked="0"/>
    </xf>
    <xf numFmtId="0" fontId="21" fillId="2" borderId="19" xfId="0" applyFont="1" applyFill="1" applyBorder="1" applyAlignment="1" applyProtection="1">
      <alignment horizontal="justify" vertical="top"/>
      <protection locked="0"/>
    </xf>
    <xf numFmtId="0" fontId="21" fillId="2" borderId="22" xfId="0" applyFont="1" applyFill="1" applyBorder="1" applyAlignment="1" applyProtection="1">
      <alignment horizontal="left" vertical="top" wrapText="1"/>
      <protection locked="0"/>
    </xf>
    <xf numFmtId="0" fontId="24" fillId="5" borderId="1" xfId="0" applyFont="1" applyFill="1" applyBorder="1" applyAlignment="1">
      <alignment horizontal="center" vertical="center" textRotation="90" wrapText="1"/>
    </xf>
    <xf numFmtId="0" fontId="24" fillId="5" borderId="2" xfId="0" applyFont="1" applyFill="1" applyBorder="1" applyAlignment="1">
      <alignment horizontal="center" vertical="center" textRotation="90" wrapText="1"/>
    </xf>
    <xf numFmtId="0" fontId="24" fillId="5" borderId="26" xfId="0" applyFont="1" applyFill="1" applyBorder="1" applyAlignment="1">
      <alignment horizontal="center" vertical="center"/>
    </xf>
    <xf numFmtId="0" fontId="24" fillId="5" borderId="0" xfId="0" applyFont="1" applyFill="1" applyBorder="1" applyAlignment="1">
      <alignment horizontal="center" vertical="center"/>
    </xf>
    <xf numFmtId="0" fontId="24" fillId="5" borderId="1" xfId="0" applyFont="1" applyFill="1" applyBorder="1" applyAlignment="1" applyProtection="1">
      <alignment horizontal="center" vertical="center" textRotation="90" wrapText="1"/>
      <protection hidden="1"/>
    </xf>
    <xf numFmtId="0" fontId="24" fillId="5" borderId="2" xfId="0" applyFont="1" applyFill="1" applyBorder="1" applyAlignment="1" applyProtection="1">
      <alignment horizontal="center" vertical="center" textRotation="90" wrapText="1"/>
      <protection hidden="1"/>
    </xf>
    <xf numFmtId="0" fontId="21" fillId="2" borderId="90" xfId="0" applyFont="1" applyFill="1" applyBorder="1" applyAlignment="1" applyProtection="1">
      <alignment horizontal="center" vertical="top" wrapText="1"/>
      <protection hidden="1"/>
    </xf>
    <xf numFmtId="0" fontId="21" fillId="2" borderId="13" xfId="0" applyFont="1" applyFill="1" applyBorder="1" applyAlignment="1" applyProtection="1">
      <alignment horizontal="center" vertical="top" wrapText="1"/>
      <protection hidden="1"/>
    </xf>
    <xf numFmtId="0" fontId="21" fillId="2" borderId="91" xfId="0" applyFont="1" applyFill="1" applyBorder="1" applyAlignment="1" applyProtection="1">
      <alignment horizontal="center" vertical="top" wrapText="1"/>
      <protection hidden="1"/>
    </xf>
    <xf numFmtId="0" fontId="24" fillId="5" borderId="4" xfId="0" applyFont="1" applyFill="1" applyBorder="1" applyAlignment="1">
      <alignment horizontal="center" vertical="center"/>
    </xf>
    <xf numFmtId="0" fontId="24" fillId="5" borderId="5" xfId="0" applyFont="1" applyFill="1" applyBorder="1" applyAlignment="1">
      <alignment horizontal="center" vertical="center"/>
    </xf>
    <xf numFmtId="0" fontId="21" fillId="9" borderId="87" xfId="0" applyFont="1" applyFill="1" applyBorder="1" applyAlignment="1">
      <alignment horizontal="left" vertical="top" wrapText="1"/>
    </xf>
    <xf numFmtId="0" fontId="21" fillId="9" borderId="88" xfId="0" applyFont="1" applyFill="1" applyBorder="1" applyAlignment="1">
      <alignment horizontal="left" vertical="top" wrapText="1"/>
    </xf>
    <xf numFmtId="0" fontId="21" fillId="9" borderId="89" xfId="0" applyFont="1" applyFill="1" applyBorder="1" applyAlignment="1">
      <alignment horizontal="left" vertical="top" wrapText="1"/>
    </xf>
    <xf numFmtId="2" fontId="24" fillId="0" borderId="0" xfId="0" applyNumberFormat="1" applyFont="1" applyFill="1" applyBorder="1" applyAlignment="1">
      <alignment horizontal="center" vertical="center" textRotation="90" wrapText="1"/>
    </xf>
    <xf numFmtId="2" fontId="24" fillId="0" borderId="0" xfId="0" applyNumberFormat="1" applyFont="1" applyFill="1" applyBorder="1" applyAlignment="1" applyProtection="1">
      <alignment horizontal="center" vertical="center" textRotation="90" wrapText="1"/>
      <protection hidden="1"/>
    </xf>
    <xf numFmtId="0" fontId="26" fillId="5" borderId="1" xfId="0" applyFont="1" applyFill="1" applyBorder="1" applyAlignment="1">
      <alignment horizontal="left" vertical="top" wrapText="1"/>
    </xf>
    <xf numFmtId="0" fontId="19" fillId="9" borderId="41" xfId="0" applyFont="1" applyFill="1" applyBorder="1" applyAlignment="1">
      <alignment horizontal="left" vertical="top" wrapText="1"/>
    </xf>
    <xf numFmtId="0" fontId="19" fillId="9" borderId="42" xfId="0" applyFont="1" applyFill="1" applyBorder="1" applyAlignment="1">
      <alignment horizontal="left" vertical="top" wrapText="1"/>
    </xf>
    <xf numFmtId="0" fontId="19" fillId="9" borderId="43" xfId="0" applyFont="1" applyFill="1" applyBorder="1" applyAlignment="1">
      <alignment horizontal="left" vertical="top" wrapText="1"/>
    </xf>
    <xf numFmtId="0" fontId="19" fillId="0" borderId="22" xfId="0" applyFont="1" applyFill="1" applyBorder="1" applyAlignment="1">
      <alignment horizontal="left" vertical="top"/>
    </xf>
    <xf numFmtId="0" fontId="19" fillId="0" borderId="23" xfId="0" applyFont="1" applyFill="1" applyBorder="1" applyAlignment="1">
      <alignment horizontal="left" vertical="top"/>
    </xf>
    <xf numFmtId="0" fontId="19" fillId="0" borderId="24" xfId="0" applyFont="1" applyFill="1" applyBorder="1" applyAlignment="1">
      <alignment horizontal="left" vertical="top"/>
    </xf>
    <xf numFmtId="0" fontId="19" fillId="2" borderId="22" xfId="0" applyFont="1" applyFill="1" applyBorder="1" applyAlignment="1" applyProtection="1">
      <alignment horizontal="justify" vertical="center" wrapText="1"/>
      <protection locked="0"/>
    </xf>
    <xf numFmtId="0" fontId="19" fillId="2" borderId="23" xfId="0"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0" fontId="19" fillId="2" borderId="22" xfId="0" applyFont="1" applyFill="1" applyBorder="1" applyAlignment="1" applyProtection="1">
      <alignment horizontal="left" vertical="top" wrapText="1"/>
      <protection locked="0"/>
    </xf>
    <xf numFmtId="0" fontId="19" fillId="2" borderId="23" xfId="0" applyFont="1" applyFill="1" applyBorder="1" applyAlignment="1" applyProtection="1">
      <alignment horizontal="left" vertical="top" wrapText="1"/>
      <protection locked="0"/>
    </xf>
    <xf numFmtId="0" fontId="19" fillId="2" borderId="24" xfId="0" applyFont="1" applyFill="1" applyBorder="1" applyAlignment="1" applyProtection="1">
      <alignment horizontal="left" vertical="top" wrapText="1"/>
      <protection locked="0"/>
    </xf>
    <xf numFmtId="0" fontId="21" fillId="2" borderId="17" xfId="0" applyFont="1" applyFill="1" applyBorder="1" applyAlignment="1" applyProtection="1">
      <alignment horizontal="justify" vertical="center" wrapText="1"/>
      <protection locked="0"/>
    </xf>
    <xf numFmtId="0" fontId="21" fillId="2" borderId="12" xfId="0" applyFont="1" applyFill="1" applyBorder="1" applyAlignment="1" applyProtection="1">
      <alignment horizontal="justify" vertical="center" wrapText="1"/>
      <protection locked="0"/>
    </xf>
    <xf numFmtId="0" fontId="21" fillId="2" borderId="19" xfId="0" applyFont="1" applyFill="1" applyBorder="1" applyAlignment="1" applyProtection="1">
      <alignment horizontal="justify" vertical="center" wrapText="1"/>
      <protection locked="0"/>
    </xf>
    <xf numFmtId="0" fontId="19" fillId="2" borderId="22" xfId="0" applyFont="1" applyFill="1" applyBorder="1" applyAlignment="1" applyProtection="1">
      <alignment horizontal="justify" vertical="top" wrapText="1"/>
      <protection locked="0"/>
    </xf>
    <xf numFmtId="0" fontId="19" fillId="2" borderId="23" xfId="0"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0" fontId="21" fillId="2" borderId="22" xfId="0" applyFont="1" applyFill="1" applyBorder="1" applyAlignment="1" applyProtection="1">
      <alignment horizontal="justify" vertical="center" wrapText="1"/>
      <protection locked="0"/>
    </xf>
    <xf numFmtId="0" fontId="22" fillId="2" borderId="23" xfId="0" applyFont="1" applyFill="1" applyBorder="1" applyAlignment="1" applyProtection="1">
      <alignment horizontal="justify" vertical="center"/>
      <protection locked="0"/>
    </xf>
    <xf numFmtId="0" fontId="22" fillId="2" borderId="24" xfId="0" applyFont="1" applyFill="1" applyBorder="1" applyAlignment="1" applyProtection="1">
      <alignment horizontal="justify" vertical="center"/>
      <protection locked="0"/>
    </xf>
    <xf numFmtId="168" fontId="25" fillId="0" borderId="0" xfId="0" applyNumberFormat="1" applyFont="1" applyFill="1" applyBorder="1" applyAlignment="1" applyProtection="1">
      <alignment horizontal="center" vertical="center" wrapText="1"/>
      <protection hidden="1"/>
    </xf>
    <xf numFmtId="0" fontId="19" fillId="2" borderId="12" xfId="0" applyFont="1" applyFill="1" applyBorder="1" applyAlignment="1" applyProtection="1">
      <alignment horizontal="justify" vertical="top" wrapText="1"/>
      <protection locked="0"/>
    </xf>
    <xf numFmtId="0" fontId="19" fillId="2" borderId="19" xfId="0" applyFont="1" applyFill="1" applyBorder="1" applyAlignment="1" applyProtection="1">
      <alignment horizontal="justify" vertical="top" wrapText="1"/>
      <protection locked="0"/>
    </xf>
    <xf numFmtId="0" fontId="24" fillId="3" borderId="135" xfId="0" applyFont="1" applyFill="1" applyBorder="1" applyAlignment="1">
      <alignment horizontal="left" vertical="top" wrapText="1"/>
    </xf>
    <xf numFmtId="0" fontId="25" fillId="3" borderId="137" xfId="0" applyFont="1" applyFill="1" applyBorder="1" applyAlignment="1">
      <alignment horizontal="left" vertical="top" wrapText="1"/>
    </xf>
    <xf numFmtId="0" fontId="25" fillId="3" borderId="139" xfId="0" applyFont="1" applyFill="1" applyBorder="1" applyAlignment="1">
      <alignment horizontal="left" vertical="top" wrapText="1"/>
    </xf>
    <xf numFmtId="0" fontId="24" fillId="3" borderId="64"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24" fillId="3" borderId="26" xfId="0" applyFont="1" applyFill="1" applyBorder="1" applyAlignment="1">
      <alignment horizontal="center" vertical="center" wrapText="1"/>
    </xf>
    <xf numFmtId="0" fontId="24" fillId="3" borderId="70" xfId="0" applyFont="1" applyFill="1" applyBorder="1" applyAlignment="1" applyProtection="1">
      <alignment horizontal="center" vertical="center" wrapText="1"/>
      <protection locked="0"/>
    </xf>
    <xf numFmtId="0" fontId="24" fillId="3" borderId="1" xfId="0" applyFont="1" applyFill="1" applyBorder="1" applyAlignment="1" applyProtection="1">
      <alignment horizontal="center" vertical="center" wrapText="1"/>
      <protection locked="0"/>
    </xf>
    <xf numFmtId="0" fontId="24" fillId="3" borderId="69" xfId="0" applyFont="1" applyFill="1" applyBorder="1" applyAlignment="1" applyProtection="1">
      <alignment horizontal="center" vertical="center" wrapText="1"/>
      <protection locked="0"/>
    </xf>
    <xf numFmtId="0" fontId="24" fillId="3" borderId="70" xfId="0" applyFont="1" applyFill="1" applyBorder="1" applyAlignment="1" applyProtection="1">
      <alignment horizontal="center" vertical="center" textRotation="90" wrapText="1"/>
      <protection locked="0"/>
    </xf>
    <xf numFmtId="0" fontId="24" fillId="3" borderId="1" xfId="0" applyFont="1" applyFill="1" applyBorder="1" applyAlignment="1" applyProtection="1">
      <alignment horizontal="center" vertical="center" textRotation="90" wrapText="1"/>
      <protection locked="0"/>
    </xf>
    <xf numFmtId="0" fontId="24" fillId="3" borderId="69" xfId="0" applyFont="1" applyFill="1" applyBorder="1" applyAlignment="1" applyProtection="1">
      <alignment horizontal="center" vertical="center" textRotation="90" wrapText="1"/>
      <protection locked="0"/>
    </xf>
    <xf numFmtId="0" fontId="24" fillId="3" borderId="94" xfId="0" applyFont="1" applyFill="1" applyBorder="1" applyAlignment="1" applyProtection="1">
      <alignment horizontal="center" vertical="center"/>
      <protection locked="0"/>
    </xf>
    <xf numFmtId="0" fontId="24" fillId="3" borderId="95" xfId="0"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protection locked="0"/>
    </xf>
    <xf numFmtId="0" fontId="24" fillId="3" borderId="69" xfId="0" applyFont="1" applyFill="1" applyBorder="1" applyAlignment="1" applyProtection="1">
      <alignment horizontal="center" vertical="center"/>
      <protection locked="0"/>
    </xf>
    <xf numFmtId="0" fontId="24" fillId="3" borderId="2" xfId="0" applyFont="1" applyFill="1" applyBorder="1" applyAlignment="1" applyProtection="1">
      <alignment horizontal="center" vertical="center" wrapText="1"/>
      <protection locked="0"/>
    </xf>
    <xf numFmtId="0" fontId="24" fillId="3" borderId="26" xfId="0" applyFont="1" applyFill="1" applyBorder="1" applyAlignment="1" applyProtection="1">
      <alignment horizontal="center" vertical="center"/>
      <protection locked="0"/>
    </xf>
    <xf numFmtId="0" fontId="19" fillId="0" borderId="16" xfId="0" applyFont="1" applyFill="1" applyBorder="1" applyAlignment="1">
      <alignment horizontal="left" vertical="center" wrapText="1"/>
    </xf>
    <xf numFmtId="0" fontId="19" fillId="0" borderId="14" xfId="0" applyFont="1" applyFill="1" applyBorder="1" applyAlignment="1">
      <alignment horizontal="left" vertical="center" wrapText="1"/>
    </xf>
    <xf numFmtId="0" fontId="19" fillId="0" borderId="15" xfId="0" applyFont="1" applyFill="1" applyBorder="1" applyAlignment="1">
      <alignment horizontal="left" vertical="center" wrapText="1"/>
    </xf>
    <xf numFmtId="0" fontId="19" fillId="0" borderId="22" xfId="0" applyFont="1" applyFill="1" applyBorder="1" applyAlignment="1">
      <alignment horizontal="left" vertical="center" wrapText="1"/>
    </xf>
    <xf numFmtId="0" fontId="19" fillId="0" borderId="23" xfId="0" applyFont="1" applyFill="1" applyBorder="1" applyAlignment="1">
      <alignment horizontal="left" vertical="center" wrapText="1"/>
    </xf>
    <xf numFmtId="0" fontId="19" fillId="0" borderId="24" xfId="0" applyFont="1" applyFill="1" applyBorder="1" applyAlignment="1">
      <alignment horizontal="left" vertical="center" wrapText="1"/>
    </xf>
    <xf numFmtId="0" fontId="19" fillId="2" borderId="17" xfId="0" applyFont="1" applyFill="1" applyBorder="1" applyAlignment="1" applyProtection="1">
      <alignment horizontal="left" vertical="center" wrapText="1"/>
      <protection locked="0"/>
    </xf>
    <xf numFmtId="0" fontId="19" fillId="2" borderId="12" xfId="0" applyFont="1" applyFill="1" applyBorder="1" applyAlignment="1" applyProtection="1">
      <alignment horizontal="left" vertical="center"/>
      <protection locked="0"/>
    </xf>
    <xf numFmtId="0" fontId="19" fillId="2" borderId="19" xfId="0" applyFont="1" applyFill="1" applyBorder="1" applyAlignment="1" applyProtection="1">
      <alignment horizontal="left" vertical="center"/>
      <protection locked="0"/>
    </xf>
    <xf numFmtId="0" fontId="24" fillId="3" borderId="2" xfId="0" applyFont="1" applyFill="1" applyBorder="1" applyAlignment="1">
      <alignment horizontal="center" vertical="center" wrapText="1"/>
    </xf>
    <xf numFmtId="0" fontId="24" fillId="3" borderId="1" xfId="0" applyFont="1" applyFill="1" applyBorder="1" applyAlignment="1">
      <alignment horizontal="left" vertical="center" wrapText="1"/>
    </xf>
    <xf numFmtId="0" fontId="25" fillId="3" borderId="1" xfId="0" applyFont="1" applyFill="1" applyBorder="1" applyAlignment="1">
      <alignment horizontal="left" vertical="center" wrapText="1"/>
    </xf>
    <xf numFmtId="0" fontId="25" fillId="3" borderId="2" xfId="0" applyFont="1" applyFill="1" applyBorder="1" applyAlignment="1">
      <alignment horizontal="left" vertical="center" wrapText="1"/>
    </xf>
    <xf numFmtId="0" fontId="19" fillId="0" borderId="41" xfId="0" applyFont="1" applyFill="1" applyBorder="1" applyAlignment="1">
      <alignment horizontal="left" vertical="top" wrapText="1"/>
    </xf>
    <xf numFmtId="0" fontId="19" fillId="0" borderId="42" xfId="0" applyFont="1" applyFill="1" applyBorder="1" applyAlignment="1">
      <alignment horizontal="left" vertical="top" wrapText="1"/>
    </xf>
    <xf numFmtId="0" fontId="19" fillId="0" borderId="43" xfId="0" applyFont="1" applyFill="1" applyBorder="1" applyAlignment="1">
      <alignment horizontal="left" vertical="top" wrapText="1"/>
    </xf>
    <xf numFmtId="0" fontId="21" fillId="2" borderId="23" xfId="0" applyFont="1" applyFill="1" applyBorder="1" applyAlignment="1" applyProtection="1">
      <alignment horizontal="justify" vertical="center" wrapText="1"/>
      <protection locked="0"/>
    </xf>
    <xf numFmtId="0" fontId="21" fillId="2" borderId="24" xfId="0" applyFont="1" applyFill="1" applyBorder="1" applyAlignment="1" applyProtection="1">
      <alignment horizontal="justify" vertical="center" wrapText="1"/>
      <protection locked="0"/>
    </xf>
    <xf numFmtId="0" fontId="24" fillId="3" borderId="70"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69" xfId="0" applyFont="1" applyFill="1" applyBorder="1" applyAlignment="1">
      <alignment horizontal="center" vertical="center" wrapText="1"/>
    </xf>
    <xf numFmtId="0" fontId="24" fillId="3" borderId="2" xfId="0" applyFont="1" applyFill="1" applyBorder="1" applyAlignment="1" applyProtection="1">
      <alignment horizontal="center" vertical="center" textRotation="90" wrapText="1"/>
      <protection locked="0"/>
    </xf>
    <xf numFmtId="0" fontId="24" fillId="3" borderId="2" xfId="0" applyFont="1" applyFill="1" applyBorder="1" applyAlignment="1" applyProtection="1">
      <alignment horizontal="center" vertical="center"/>
      <protection locked="0"/>
    </xf>
    <xf numFmtId="0" fontId="24" fillId="3" borderId="4" xfId="0" applyFont="1" applyFill="1" applyBorder="1" applyAlignment="1" applyProtection="1">
      <alignment horizontal="center" vertical="center"/>
      <protection locked="0"/>
    </xf>
    <xf numFmtId="0" fontId="24" fillId="3" borderId="5" xfId="0" applyFont="1" applyFill="1" applyBorder="1" applyAlignment="1" applyProtection="1">
      <alignment horizontal="center" vertical="center"/>
      <protection locked="0"/>
    </xf>
    <xf numFmtId="0" fontId="24" fillId="3" borderId="69" xfId="0" applyFont="1" applyFill="1" applyBorder="1" applyAlignment="1">
      <alignment horizontal="center" vertical="center"/>
    </xf>
    <xf numFmtId="0" fontId="19" fillId="2" borderId="106" xfId="0" applyFont="1" applyFill="1" applyBorder="1" applyAlignment="1" applyProtection="1">
      <alignment horizontal="justify" vertical="center" wrapText="1"/>
      <protection locked="0"/>
    </xf>
    <xf numFmtId="0" fontId="19" fillId="2" borderId="12" xfId="0" applyFont="1" applyFill="1" applyBorder="1" applyAlignment="1" applyProtection="1">
      <alignment horizontal="justify" vertical="center" wrapText="1"/>
      <protection locked="0"/>
    </xf>
    <xf numFmtId="0" fontId="19" fillId="2" borderId="19" xfId="0" applyFont="1" applyFill="1" applyBorder="1" applyAlignment="1" applyProtection="1">
      <alignment horizontal="justify" vertical="center" wrapText="1"/>
      <protection locked="0"/>
    </xf>
    <xf numFmtId="0" fontId="24" fillId="3" borderId="0" xfId="0" applyFont="1" applyFill="1" applyBorder="1" applyAlignment="1">
      <alignment horizontal="center" vertical="center"/>
    </xf>
    <xf numFmtId="0" fontId="24" fillId="3" borderId="1" xfId="0" applyFont="1" applyFill="1" applyBorder="1" applyAlignment="1" applyProtection="1">
      <alignment horizontal="center" vertical="center" textRotation="90" wrapText="1"/>
      <protection hidden="1"/>
    </xf>
    <xf numFmtId="0" fontId="24" fillId="3" borderId="2" xfId="0" applyFont="1" applyFill="1" applyBorder="1" applyAlignment="1" applyProtection="1">
      <alignment horizontal="center" vertical="center" textRotation="90" wrapText="1"/>
      <protection hidden="1"/>
    </xf>
    <xf numFmtId="0" fontId="24" fillId="3" borderId="136" xfId="0" applyFont="1" applyFill="1" applyBorder="1" applyAlignment="1">
      <alignment horizontal="center" vertical="center" textRotation="90" wrapText="1"/>
    </xf>
    <xf numFmtId="0" fontId="24" fillId="3" borderId="138" xfId="0" applyFont="1" applyFill="1" applyBorder="1" applyAlignment="1">
      <alignment horizontal="center" vertical="center" textRotation="90" wrapText="1"/>
    </xf>
    <xf numFmtId="0" fontId="24" fillId="3" borderId="140" xfId="0" applyFont="1" applyFill="1" applyBorder="1" applyAlignment="1">
      <alignment horizontal="center" vertical="center" textRotation="90" wrapText="1"/>
    </xf>
    <xf numFmtId="0" fontId="24" fillId="3" borderId="136" xfId="0" applyFont="1" applyFill="1" applyBorder="1" applyAlignment="1" applyProtection="1">
      <alignment horizontal="center" vertical="center" textRotation="90" wrapText="1"/>
      <protection hidden="1"/>
    </xf>
    <xf numFmtId="0" fontId="24" fillId="3" borderId="138" xfId="0" applyFont="1" applyFill="1" applyBorder="1" applyAlignment="1" applyProtection="1">
      <alignment horizontal="center" vertical="center" textRotation="90" wrapText="1"/>
      <protection hidden="1"/>
    </xf>
    <xf numFmtId="0" fontId="24" fillId="3" borderId="140" xfId="0" applyFont="1" applyFill="1" applyBorder="1" applyAlignment="1" applyProtection="1">
      <alignment horizontal="center" vertical="center" textRotation="90" wrapText="1"/>
      <protection hidden="1"/>
    </xf>
    <xf numFmtId="0" fontId="19" fillId="0" borderId="21" xfId="0" applyFont="1" applyFill="1" applyBorder="1" applyAlignment="1">
      <alignment horizontal="left" vertical="center" wrapText="1"/>
    </xf>
    <xf numFmtId="0" fontId="21" fillId="2" borderId="106" xfId="0" applyFont="1" applyFill="1" applyBorder="1" applyAlignment="1" applyProtection="1">
      <alignment horizontal="center" vertical="center"/>
      <protection locked="0"/>
    </xf>
    <xf numFmtId="0" fontId="24" fillId="3" borderId="1" xfId="0" applyFont="1" applyFill="1" applyBorder="1" applyAlignment="1">
      <alignment horizontal="center" vertical="center"/>
    </xf>
    <xf numFmtId="0" fontId="24" fillId="3" borderId="70" xfId="0" applyFont="1" applyFill="1" applyBorder="1" applyAlignment="1">
      <alignment horizontal="center" vertical="center" textRotation="90" wrapText="1"/>
    </xf>
    <xf numFmtId="0" fontId="24" fillId="3" borderId="1" xfId="0" applyFont="1" applyFill="1" applyBorder="1" applyAlignment="1">
      <alignment horizontal="center" vertical="center" textRotation="90" wrapText="1"/>
    </xf>
    <xf numFmtId="0" fontId="24" fillId="3" borderId="69" xfId="0" applyFont="1" applyFill="1" applyBorder="1" applyAlignment="1">
      <alignment horizontal="center" vertical="center" textRotation="90" wrapText="1"/>
    </xf>
    <xf numFmtId="0" fontId="21" fillId="2" borderId="133" xfId="0" applyFont="1" applyFill="1" applyBorder="1" applyAlignment="1" applyProtection="1">
      <alignment horizontal="center" vertical="center"/>
      <protection locked="0"/>
    </xf>
    <xf numFmtId="0" fontId="24" fillId="3" borderId="70" xfId="0" applyFont="1" applyFill="1" applyBorder="1" applyAlignment="1">
      <alignment horizontal="center" vertical="center"/>
    </xf>
    <xf numFmtId="0" fontId="24" fillId="3" borderId="4"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3" borderId="134" xfId="0" applyFont="1" applyFill="1" applyBorder="1" applyAlignment="1">
      <alignment horizontal="center" vertical="center" wrapText="1"/>
    </xf>
    <xf numFmtId="0" fontId="24" fillId="3" borderId="4" xfId="0" applyFont="1" applyFill="1" applyBorder="1" applyAlignment="1">
      <alignment vertical="center" wrapText="1"/>
    </xf>
    <xf numFmtId="0" fontId="25" fillId="3" borderId="4" xfId="0" applyFont="1" applyFill="1" applyBorder="1" applyAlignment="1">
      <alignment vertical="center" wrapText="1"/>
    </xf>
    <xf numFmtId="0" fontId="25" fillId="3" borderId="134" xfId="0" applyFont="1" applyFill="1" applyBorder="1" applyAlignment="1">
      <alignment vertical="center" wrapText="1"/>
    </xf>
    <xf numFmtId="0" fontId="19" fillId="0" borderId="2" xfId="0" applyFont="1" applyFill="1" applyBorder="1" applyAlignment="1" applyProtection="1">
      <alignment horizontal="left" vertical="top" wrapText="1"/>
      <protection locked="0"/>
    </xf>
    <xf numFmtId="0" fontId="53" fillId="0" borderId="25" xfId="0" applyFont="1" applyFill="1" applyBorder="1" applyAlignment="1" applyProtection="1">
      <alignment horizontal="left" vertical="top" wrapText="1"/>
      <protection locked="0"/>
    </xf>
    <xf numFmtId="0" fontId="53" fillId="0" borderId="26" xfId="0" applyFont="1" applyFill="1" applyBorder="1" applyAlignment="1" applyProtection="1">
      <alignment horizontal="left" vertical="top" wrapText="1"/>
      <protection locked="0"/>
    </xf>
    <xf numFmtId="0" fontId="19" fillId="0" borderId="25" xfId="0" applyFont="1" applyFill="1" applyBorder="1" applyAlignment="1" applyProtection="1">
      <alignment horizontal="left" vertical="top" wrapText="1"/>
      <protection locked="0"/>
    </xf>
    <xf numFmtId="0" fontId="19" fillId="0" borderId="26" xfId="0" applyFont="1" applyFill="1" applyBorder="1" applyAlignment="1" applyProtection="1">
      <alignment horizontal="left" vertical="top" wrapText="1"/>
      <protection locked="0"/>
    </xf>
    <xf numFmtId="0" fontId="21" fillId="0" borderId="2" xfId="0" applyFont="1" applyFill="1" applyBorder="1" applyAlignment="1" applyProtection="1">
      <alignment horizontal="left" vertical="top" wrapText="1"/>
      <protection locked="0"/>
    </xf>
    <xf numFmtId="0" fontId="21" fillId="0" borderId="25" xfId="0" applyFont="1" applyFill="1" applyBorder="1" applyAlignment="1" applyProtection="1">
      <alignment horizontal="left" vertical="top" wrapText="1"/>
      <protection locked="0"/>
    </xf>
    <xf numFmtId="0" fontId="21" fillId="0" borderId="26" xfId="0" applyFont="1" applyFill="1" applyBorder="1" applyAlignment="1" applyProtection="1">
      <alignment horizontal="left" vertical="top" wrapText="1"/>
      <protection locked="0"/>
    </xf>
    <xf numFmtId="0" fontId="24" fillId="7" borderId="27" xfId="0" applyFont="1" applyFill="1" applyBorder="1" applyAlignment="1" applyProtection="1">
      <alignment horizontal="center" vertical="center" wrapText="1"/>
      <protection locked="0"/>
    </xf>
    <xf numFmtId="0" fontId="24" fillId="7" borderId="27" xfId="0" applyFont="1" applyFill="1" applyBorder="1" applyAlignment="1" applyProtection="1">
      <alignment horizontal="center" vertical="center"/>
      <protection locked="0"/>
    </xf>
    <xf numFmtId="0" fontId="24" fillId="0" borderId="0" xfId="0" applyFont="1" applyFill="1" applyBorder="1" applyAlignment="1">
      <alignment horizontal="left" vertical="center" wrapText="1"/>
    </xf>
    <xf numFmtId="0" fontId="26" fillId="7" borderId="71" xfId="0" applyFont="1" applyFill="1" applyBorder="1" applyAlignment="1">
      <alignment horizontal="left" vertical="top" wrapText="1"/>
    </xf>
    <xf numFmtId="0" fontId="24" fillId="7" borderId="27" xfId="0" applyFont="1" applyFill="1" applyBorder="1" applyAlignment="1">
      <alignment horizontal="left" vertical="top" wrapText="1"/>
    </xf>
    <xf numFmtId="0" fontId="21" fillId="0" borderId="64" xfId="0" applyFont="1" applyFill="1" applyBorder="1" applyAlignment="1">
      <alignment horizontal="justify" vertical="top" wrapText="1"/>
    </xf>
    <xf numFmtId="0" fontId="21" fillId="0" borderId="25" xfId="0" applyFont="1" applyFill="1" applyBorder="1" applyAlignment="1">
      <alignment horizontal="justify" vertical="top" wrapText="1"/>
    </xf>
    <xf numFmtId="0" fontId="21" fillId="0" borderId="26" xfId="0" applyFont="1" applyFill="1" applyBorder="1" applyAlignment="1">
      <alignment horizontal="justify" vertical="top" wrapText="1"/>
    </xf>
    <xf numFmtId="0" fontId="24" fillId="7" borderId="27" xfId="0" applyFont="1" applyFill="1" applyBorder="1" applyAlignment="1">
      <alignment horizontal="center" vertical="center" wrapText="1"/>
    </xf>
    <xf numFmtId="0" fontId="24" fillId="7" borderId="65" xfId="0" applyFont="1" applyFill="1" applyBorder="1" applyAlignment="1" applyProtection="1">
      <alignment horizontal="center" vertical="center" wrapText="1"/>
      <protection locked="0"/>
    </xf>
    <xf numFmtId="0" fontId="24" fillId="7" borderId="66" xfId="0" applyFont="1" applyFill="1" applyBorder="1" applyAlignment="1" applyProtection="1">
      <alignment horizontal="center" vertical="center" wrapText="1"/>
      <protection locked="0"/>
    </xf>
    <xf numFmtId="0" fontId="24" fillId="7" borderId="67" xfId="0" applyFont="1" applyFill="1" applyBorder="1" applyAlignment="1" applyProtection="1">
      <alignment horizontal="center" vertical="center" wrapText="1"/>
      <protection locked="0"/>
    </xf>
    <xf numFmtId="0" fontId="24" fillId="7" borderId="27" xfId="0" applyFont="1" applyFill="1" applyBorder="1" applyAlignment="1" applyProtection="1">
      <alignment horizontal="center" vertical="center" textRotation="90" wrapText="1"/>
      <protection locked="0"/>
    </xf>
    <xf numFmtId="0" fontId="19" fillId="0" borderId="128" xfId="0" applyFont="1" applyFill="1" applyBorder="1" applyAlignment="1">
      <alignment horizontal="left" vertical="top" wrapText="1"/>
    </xf>
    <xf numFmtId="0" fontId="19" fillId="0" borderId="129" xfId="0" applyFont="1" applyFill="1" applyBorder="1" applyAlignment="1">
      <alignment horizontal="left" vertical="top" wrapText="1"/>
    </xf>
    <xf numFmtId="0" fontId="19" fillId="0" borderId="130" xfId="0" applyFont="1" applyFill="1" applyBorder="1" applyAlignment="1">
      <alignment horizontal="left" vertical="top" wrapText="1"/>
    </xf>
    <xf numFmtId="0" fontId="21" fillId="0" borderId="1" xfId="0" applyFont="1" applyFill="1" applyBorder="1" applyAlignment="1">
      <alignment horizontal="justify" vertical="top" wrapText="1"/>
    </xf>
    <xf numFmtId="0" fontId="21" fillId="0" borderId="69" xfId="0" applyFont="1" applyFill="1" applyBorder="1" applyAlignment="1">
      <alignment horizontal="justify" vertical="top" wrapText="1"/>
    </xf>
    <xf numFmtId="0" fontId="24" fillId="7" borderId="27" xfId="0" applyFont="1" applyFill="1" applyBorder="1" applyAlignment="1">
      <alignment horizontal="center" vertical="center" textRotation="90" wrapText="1"/>
    </xf>
    <xf numFmtId="0" fontId="19" fillId="0" borderId="64" xfId="0" applyFont="1" applyFill="1" applyBorder="1" applyAlignment="1">
      <alignment horizontal="justify" vertical="top" wrapText="1"/>
    </xf>
    <xf numFmtId="0" fontId="19" fillId="0" borderId="25" xfId="0" applyFont="1" applyFill="1" applyBorder="1" applyAlignment="1">
      <alignment horizontal="justify" vertical="top" wrapText="1"/>
    </xf>
    <xf numFmtId="0" fontId="19" fillId="0" borderId="26" xfId="0" applyFont="1" applyFill="1" applyBorder="1" applyAlignment="1">
      <alignment horizontal="justify" vertical="top" wrapText="1"/>
    </xf>
    <xf numFmtId="0" fontId="21" fillId="0" borderId="2" xfId="0" applyFont="1" applyFill="1" applyBorder="1" applyAlignment="1">
      <alignment horizontal="left" vertical="top" wrapText="1"/>
    </xf>
    <xf numFmtId="0" fontId="21" fillId="0" borderId="25" xfId="0" applyFont="1" applyFill="1" applyBorder="1" applyAlignment="1">
      <alignment horizontal="left" vertical="top" wrapText="1"/>
    </xf>
    <xf numFmtId="0" fontId="21" fillId="0" borderId="26" xfId="0" applyFont="1" applyFill="1" applyBorder="1" applyAlignment="1">
      <alignment horizontal="left" vertical="top" wrapText="1"/>
    </xf>
    <xf numFmtId="0" fontId="24" fillId="7" borderId="65" xfId="0" applyFont="1" applyFill="1" applyBorder="1" applyAlignment="1">
      <alignment horizontal="center" vertical="center" wrapText="1"/>
    </xf>
    <xf numFmtId="0" fontId="24" fillId="7" borderId="66" xfId="0" applyFont="1" applyFill="1" applyBorder="1" applyAlignment="1">
      <alignment horizontal="center" vertical="center" wrapText="1"/>
    </xf>
    <xf numFmtId="0" fontId="24" fillId="7" borderId="67" xfId="0" applyFont="1" applyFill="1" applyBorder="1" applyAlignment="1">
      <alignment horizontal="center" vertical="center" wrapText="1"/>
    </xf>
    <xf numFmtId="0" fontId="21" fillId="0" borderId="1" xfId="0" applyFont="1" applyBorder="1" applyAlignment="1">
      <alignment horizontal="justify" vertical="top" wrapText="1"/>
    </xf>
    <xf numFmtId="0" fontId="53" fillId="2" borderId="17" xfId="0" applyFont="1" applyFill="1" applyBorder="1" applyAlignment="1" applyProtection="1">
      <alignment horizontal="center" vertical="center" wrapText="1"/>
      <protection locked="0"/>
    </xf>
    <xf numFmtId="0" fontId="53" fillId="2" borderId="12" xfId="0" applyFont="1" applyFill="1" applyBorder="1" applyAlignment="1" applyProtection="1">
      <alignment horizontal="center" vertical="center"/>
      <protection locked="0"/>
    </xf>
    <xf numFmtId="0" fontId="53" fillId="2" borderId="19" xfId="0" applyFont="1" applyFill="1" applyBorder="1" applyAlignment="1" applyProtection="1">
      <alignment horizontal="center" vertical="center"/>
      <protection locked="0"/>
    </xf>
    <xf numFmtId="0" fontId="24" fillId="7" borderId="27" xfId="0" applyFont="1" applyFill="1" applyBorder="1" applyAlignment="1">
      <alignment horizontal="center" vertical="center"/>
    </xf>
    <xf numFmtId="0" fontId="21" fillId="0" borderId="70" xfId="0" applyFont="1" applyFill="1" applyBorder="1" applyAlignment="1">
      <alignment horizontal="justify" vertical="top" wrapText="1"/>
    </xf>
    <xf numFmtId="0" fontId="21" fillId="0" borderId="3" xfId="0" applyFont="1" applyFill="1" applyBorder="1" applyAlignment="1">
      <alignment horizontal="justify" vertical="top" wrapText="1"/>
    </xf>
    <xf numFmtId="0" fontId="24" fillId="7" borderId="92" xfId="0" applyFont="1" applyFill="1" applyBorder="1" applyAlignment="1" applyProtection="1">
      <alignment horizontal="center" vertical="center" textRotation="90" wrapText="1"/>
      <protection hidden="1"/>
    </xf>
    <xf numFmtId="0" fontId="24" fillId="7" borderId="93" xfId="0" applyFont="1" applyFill="1" applyBorder="1" applyAlignment="1" applyProtection="1">
      <alignment horizontal="center" vertical="center" textRotation="90" wrapText="1"/>
      <protection hidden="1"/>
    </xf>
    <xf numFmtId="0" fontId="24" fillId="7" borderId="92" xfId="0" applyFont="1" applyFill="1" applyBorder="1" applyAlignment="1">
      <alignment horizontal="center" vertical="center" textRotation="90" wrapText="1"/>
    </xf>
    <xf numFmtId="0" fontId="24" fillId="7" borderId="93" xfId="0" applyFont="1" applyFill="1" applyBorder="1" applyAlignment="1">
      <alignment horizontal="center" vertical="center" textRotation="90" wrapText="1"/>
    </xf>
    <xf numFmtId="0" fontId="24" fillId="7" borderId="0" xfId="0" applyFont="1" applyFill="1" applyBorder="1" applyAlignment="1">
      <alignment horizontal="center" vertical="center"/>
    </xf>
    <xf numFmtId="0" fontId="26" fillId="7" borderId="27" xfId="0" applyFont="1" applyFill="1" applyBorder="1" applyAlignment="1">
      <alignment horizontal="left" vertical="top" wrapText="1"/>
    </xf>
    <xf numFmtId="0" fontId="21" fillId="0" borderId="68" xfId="0" applyFont="1" applyFill="1" applyBorder="1" applyAlignment="1">
      <alignment horizontal="justify" vertical="top" wrapText="1"/>
    </xf>
    <xf numFmtId="167" fontId="25" fillId="0" borderId="0" xfId="0" applyNumberFormat="1" applyFont="1" applyFill="1" applyBorder="1" applyAlignment="1" applyProtection="1">
      <alignment horizontal="center" vertical="center" wrapText="1"/>
      <protection hidden="1"/>
    </xf>
    <xf numFmtId="167" fontId="24" fillId="0" borderId="0" xfId="0" applyNumberFormat="1" applyFont="1" applyFill="1" applyBorder="1" applyAlignment="1">
      <alignment horizontal="center" vertical="center" textRotation="90" wrapText="1"/>
    </xf>
    <xf numFmtId="167" fontId="24" fillId="0" borderId="0" xfId="0" applyNumberFormat="1" applyFont="1" applyFill="1" applyBorder="1" applyAlignment="1" applyProtection="1">
      <alignment horizontal="center" vertical="center" textRotation="90" wrapText="1"/>
      <protection hidden="1"/>
    </xf>
    <xf numFmtId="0" fontId="19" fillId="0" borderId="41" xfId="0" quotePrefix="1" applyFont="1" applyFill="1" applyBorder="1" applyAlignment="1">
      <alignment vertical="top" wrapText="1"/>
    </xf>
    <xf numFmtId="0" fontId="19" fillId="0" borderId="42" xfId="0" applyFont="1" applyFill="1" applyBorder="1" applyAlignment="1">
      <alignment vertical="top" wrapText="1"/>
    </xf>
    <xf numFmtId="0" fontId="19" fillId="0" borderId="43" xfId="0" applyFont="1" applyFill="1" applyBorder="1" applyAlignment="1">
      <alignment vertical="top" wrapText="1"/>
    </xf>
    <xf numFmtId="0" fontId="25" fillId="8" borderId="27" xfId="0" applyFont="1" applyFill="1" applyBorder="1" applyAlignment="1">
      <alignment horizontal="left" vertical="center" wrapText="1"/>
    </xf>
    <xf numFmtId="0" fontId="24" fillId="8" borderId="27" xfId="0" applyFont="1" applyFill="1" applyBorder="1" applyAlignment="1" applyProtection="1">
      <alignment horizontal="center" vertical="center" textRotation="90" wrapText="1"/>
      <protection locked="0"/>
    </xf>
    <xf numFmtId="0" fontId="21" fillId="2" borderId="74" xfId="0" applyFont="1" applyFill="1" applyBorder="1" applyAlignment="1" applyProtection="1">
      <alignment horizontal="center" vertical="top"/>
      <protection locked="0"/>
    </xf>
    <xf numFmtId="0" fontId="21" fillId="2" borderId="33" xfId="0" applyFont="1" applyFill="1" applyBorder="1" applyAlignment="1" applyProtection="1">
      <alignment horizontal="center" vertical="top"/>
      <protection locked="0"/>
    </xf>
    <xf numFmtId="0" fontId="21" fillId="2" borderId="77" xfId="0" applyFont="1" applyFill="1" applyBorder="1" applyAlignment="1" applyProtection="1">
      <alignment horizontal="center" vertical="top"/>
      <protection locked="0"/>
    </xf>
    <xf numFmtId="0" fontId="24" fillId="8" borderId="65" xfId="0" applyFont="1" applyFill="1" applyBorder="1" applyAlignment="1" applyProtection="1">
      <alignment horizontal="center" vertical="center" wrapText="1"/>
      <protection locked="0"/>
    </xf>
    <xf numFmtId="0" fontId="24" fillId="8" borderId="66" xfId="0" applyFont="1" applyFill="1" applyBorder="1" applyAlignment="1" applyProtection="1">
      <alignment horizontal="center" vertical="center" wrapText="1"/>
      <protection locked="0"/>
    </xf>
    <xf numFmtId="0" fontId="24" fillId="8" borderId="67" xfId="0" applyFont="1" applyFill="1" applyBorder="1" applyAlignment="1" applyProtection="1">
      <alignment horizontal="center" vertical="center" wrapText="1"/>
      <protection locked="0"/>
    </xf>
    <xf numFmtId="0" fontId="24" fillId="8" borderId="27" xfId="0" applyFont="1" applyFill="1" applyBorder="1" applyAlignment="1" applyProtection="1">
      <alignment horizontal="center" vertical="center" wrapText="1"/>
      <protection locked="0"/>
    </xf>
    <xf numFmtId="0" fontId="24" fillId="8" borderId="27" xfId="0" applyFont="1" applyFill="1" applyBorder="1" applyAlignment="1" applyProtection="1">
      <alignment horizontal="center" vertical="center"/>
      <protection locked="0"/>
    </xf>
    <xf numFmtId="0" fontId="24" fillId="8" borderId="27" xfId="0" applyFont="1" applyFill="1" applyBorder="1" applyAlignment="1">
      <alignment horizontal="center" vertical="center" wrapText="1"/>
    </xf>
    <xf numFmtId="0" fontId="24" fillId="8" borderId="0" xfId="0" applyFont="1" applyFill="1" applyBorder="1" applyAlignment="1">
      <alignment horizontal="center" vertical="center"/>
    </xf>
    <xf numFmtId="0" fontId="19" fillId="0" borderId="21" xfId="0" applyFont="1" applyFill="1" applyBorder="1" applyAlignment="1">
      <alignment horizontal="left" vertical="top" wrapText="1"/>
    </xf>
    <xf numFmtId="0" fontId="24" fillId="8" borderId="27" xfId="0" applyFont="1" applyFill="1" applyBorder="1" applyAlignment="1">
      <alignment horizontal="center" vertical="center"/>
    </xf>
    <xf numFmtId="0" fontId="24" fillId="8" borderId="27" xfId="0" applyFont="1" applyFill="1" applyBorder="1" applyAlignment="1">
      <alignment horizontal="center" vertical="center" textRotation="90" wrapText="1"/>
    </xf>
    <xf numFmtId="0" fontId="24" fillId="8" borderId="65" xfId="0" applyFont="1" applyFill="1" applyBorder="1" applyAlignment="1">
      <alignment horizontal="center" vertical="center" wrapText="1"/>
    </xf>
    <xf numFmtId="0" fontId="24" fillId="8" borderId="66" xfId="0" applyFont="1" applyFill="1" applyBorder="1" applyAlignment="1">
      <alignment horizontal="center" vertical="center" wrapText="1"/>
    </xf>
    <xf numFmtId="0" fontId="24" fillId="8" borderId="67" xfId="0" applyFont="1" applyFill="1" applyBorder="1" applyAlignment="1">
      <alignment horizontal="center" vertical="center" wrapText="1"/>
    </xf>
    <xf numFmtId="0" fontId="22" fillId="2" borderId="23" xfId="0" applyFont="1" applyFill="1" applyBorder="1" applyAlignment="1" applyProtection="1">
      <alignment horizontal="justify" vertical="top" wrapText="1"/>
      <protection locked="0"/>
    </xf>
    <xf numFmtId="0" fontId="22" fillId="2" borderId="24" xfId="0" applyFont="1" applyFill="1" applyBorder="1" applyAlignment="1" applyProtection="1">
      <alignment horizontal="justify" vertical="top" wrapText="1"/>
      <protection locked="0"/>
    </xf>
    <xf numFmtId="0" fontId="24" fillId="8" borderId="27" xfId="0" applyFont="1" applyFill="1" applyBorder="1" applyAlignment="1">
      <alignment horizontal="left" vertical="center" wrapText="1"/>
    </xf>
    <xf numFmtId="0" fontId="24" fillId="8" borderId="92" xfId="0" applyFont="1" applyFill="1" applyBorder="1" applyAlignment="1" applyProtection="1">
      <alignment horizontal="center" vertical="center" textRotation="90" wrapText="1"/>
      <protection hidden="1"/>
    </xf>
    <xf numFmtId="0" fontId="24" fillId="8" borderId="93" xfId="0" applyFont="1" applyFill="1" applyBorder="1" applyAlignment="1" applyProtection="1">
      <alignment horizontal="center" vertical="center" textRotation="90" wrapText="1"/>
      <protection hidden="1"/>
    </xf>
    <xf numFmtId="0" fontId="24" fillId="8" borderId="92" xfId="0" applyFont="1" applyFill="1" applyBorder="1" applyAlignment="1">
      <alignment horizontal="center" vertical="center" textRotation="90" wrapText="1"/>
    </xf>
    <xf numFmtId="0" fontId="24" fillId="8" borderId="93" xfId="0" applyFont="1" applyFill="1" applyBorder="1" applyAlignment="1">
      <alignment horizontal="center" vertical="center" textRotation="90" wrapText="1"/>
    </xf>
    <xf numFmtId="0" fontId="19" fillId="0" borderId="41" xfId="0" applyFont="1" applyFill="1" applyBorder="1" applyAlignment="1">
      <alignment horizontal="left" vertical="center" wrapText="1"/>
    </xf>
    <xf numFmtId="0" fontId="19" fillId="0" borderId="42" xfId="0" applyFont="1" applyFill="1" applyBorder="1" applyAlignment="1">
      <alignment horizontal="left" vertical="center" wrapText="1"/>
    </xf>
    <xf numFmtId="0" fontId="19" fillId="0" borderId="43" xfId="0" applyFont="1" applyFill="1" applyBorder="1" applyAlignment="1">
      <alignment horizontal="left" vertical="center" wrapText="1"/>
    </xf>
    <xf numFmtId="0" fontId="33" fillId="18" borderId="87" xfId="3" applyFont="1" applyFill="1" applyBorder="1" applyAlignment="1" applyProtection="1">
      <alignment horizontal="center" vertical="center" wrapText="1"/>
    </xf>
    <xf numFmtId="0" fontId="33" fillId="18" borderId="89" xfId="3" applyFont="1" applyFill="1" applyBorder="1" applyAlignment="1" applyProtection="1">
      <alignment horizontal="center" vertical="center" wrapText="1"/>
    </xf>
    <xf numFmtId="0" fontId="15" fillId="14" borderId="142" xfId="3" applyNumberFormat="1" applyFont="1" applyFill="1" applyBorder="1" applyAlignment="1" applyProtection="1">
      <alignment horizontal="center" vertical="center" wrapText="1"/>
    </xf>
    <xf numFmtId="0" fontId="15" fillId="14" borderId="72" xfId="3" applyNumberFormat="1" applyFont="1" applyFill="1" applyBorder="1" applyAlignment="1" applyProtection="1">
      <alignment horizontal="center" vertical="center"/>
    </xf>
    <xf numFmtId="0" fontId="33" fillId="3" borderId="17" xfId="3" applyFont="1" applyFill="1" applyBorder="1" applyAlignment="1" applyProtection="1">
      <alignment horizontal="center" vertical="center" wrapText="1"/>
    </xf>
    <xf numFmtId="0" fontId="33" fillId="3" borderId="24" xfId="3" applyFont="1" applyFill="1" applyBorder="1" applyAlignment="1" applyProtection="1">
      <alignment horizontal="center" vertical="center" wrapText="1"/>
    </xf>
    <xf numFmtId="0" fontId="11" fillId="0" borderId="145" xfId="3" applyFont="1" applyFill="1" applyBorder="1" applyAlignment="1" applyProtection="1">
      <alignment horizontal="justify" vertical="center" wrapText="1"/>
    </xf>
    <xf numFmtId="0" fontId="11" fillId="0" borderId="146" xfId="3" applyFont="1" applyFill="1" applyBorder="1" applyAlignment="1" applyProtection="1">
      <alignment horizontal="justify" vertical="center" wrapText="1"/>
    </xf>
    <xf numFmtId="0" fontId="11" fillId="0" borderId="72" xfId="3" applyFont="1" applyFill="1" applyBorder="1" applyAlignment="1" applyProtection="1">
      <alignment horizontal="justify" vertical="center" wrapText="1"/>
    </xf>
    <xf numFmtId="0" fontId="11" fillId="0" borderId="143" xfId="3" applyFont="1" applyFill="1" applyBorder="1" applyAlignment="1" applyProtection="1">
      <alignment horizontal="justify" vertical="center" wrapText="1"/>
    </xf>
    <xf numFmtId="0" fontId="32" fillId="2" borderId="0" xfId="0" applyFont="1" applyFill="1" applyAlignment="1" applyProtection="1">
      <alignment horizontal="left" vertical="center" wrapText="1"/>
      <protection locked="0"/>
    </xf>
    <xf numFmtId="0" fontId="33" fillId="3" borderId="16" xfId="3" applyFont="1" applyFill="1" applyBorder="1" applyAlignment="1" applyProtection="1">
      <alignment horizontal="center" vertical="center" wrapText="1"/>
    </xf>
    <xf numFmtId="0" fontId="33" fillId="3" borderId="15" xfId="3" applyFont="1" applyFill="1" applyBorder="1" applyAlignment="1" applyProtection="1">
      <alignment horizontal="center" vertical="center" wrapText="1"/>
    </xf>
    <xf numFmtId="0" fontId="33" fillId="3" borderId="74" xfId="3" applyFont="1" applyFill="1" applyBorder="1" applyAlignment="1" applyProtection="1">
      <alignment horizontal="center" vertical="center" wrapText="1"/>
    </xf>
    <xf numFmtId="0" fontId="33" fillId="3" borderId="75" xfId="3" applyFont="1" applyFill="1" applyBorder="1" applyAlignment="1" applyProtection="1">
      <alignment horizontal="center" vertical="center" wrapText="1"/>
    </xf>
    <xf numFmtId="0" fontId="33" fillId="3" borderId="76" xfId="3" applyFont="1" applyFill="1" applyBorder="1" applyAlignment="1" applyProtection="1">
      <alignment horizontal="center" vertical="center" wrapText="1"/>
    </xf>
    <xf numFmtId="0" fontId="33" fillId="3" borderId="22" xfId="3" applyFont="1" applyFill="1" applyBorder="1" applyAlignment="1" applyProtection="1">
      <alignment horizontal="center" vertical="center" wrapText="1"/>
    </xf>
    <xf numFmtId="0" fontId="33" fillId="3" borderId="18" xfId="3" applyFont="1" applyFill="1" applyBorder="1" applyAlignment="1" applyProtection="1">
      <alignment horizontal="center" vertical="center" wrapText="1"/>
    </xf>
    <xf numFmtId="0" fontId="33" fillId="3" borderId="20" xfId="3" applyFont="1" applyFill="1" applyBorder="1" applyAlignment="1" applyProtection="1">
      <alignment horizontal="center" vertical="center" wrapText="1"/>
    </xf>
    <xf numFmtId="9" fontId="42" fillId="2" borderId="25" xfId="3" applyNumberFormat="1" applyFont="1" applyFill="1" applyBorder="1" applyAlignment="1" applyProtection="1">
      <alignment horizontal="center" vertical="center"/>
      <protection hidden="1"/>
    </xf>
    <xf numFmtId="9" fontId="42" fillId="2" borderId="3" xfId="3" applyNumberFormat="1" applyFont="1" applyFill="1" applyBorder="1" applyAlignment="1" applyProtection="1">
      <alignment horizontal="center" vertical="center"/>
      <protection hidden="1"/>
    </xf>
    <xf numFmtId="0" fontId="15" fillId="15" borderId="142" xfId="3" applyNumberFormat="1" applyFont="1" applyFill="1" applyBorder="1" applyAlignment="1" applyProtection="1">
      <alignment horizontal="center" vertical="center"/>
    </xf>
    <xf numFmtId="0" fontId="15" fillId="15" borderId="72" xfId="3" applyNumberFormat="1" applyFont="1" applyFill="1" applyBorder="1" applyAlignment="1" applyProtection="1">
      <alignment horizontal="center" vertical="center"/>
    </xf>
    <xf numFmtId="0" fontId="49" fillId="3" borderId="98" xfId="0" applyFont="1" applyFill="1" applyBorder="1" applyAlignment="1">
      <alignment horizontal="center" vertical="center"/>
    </xf>
    <xf numFmtId="0" fontId="49" fillId="3" borderId="99" xfId="0" applyFont="1" applyFill="1" applyBorder="1" applyAlignment="1">
      <alignment horizontal="center" vertical="center"/>
    </xf>
    <xf numFmtId="0" fontId="49" fillId="3" borderId="100" xfId="0" applyFont="1" applyFill="1" applyBorder="1" applyAlignment="1">
      <alignment horizontal="center" vertical="center"/>
    </xf>
    <xf numFmtId="0" fontId="34" fillId="3" borderId="150" xfId="3" applyNumberFormat="1" applyFont="1" applyFill="1" applyBorder="1" applyAlignment="1" applyProtection="1">
      <alignment horizontal="center" vertical="center" wrapText="1"/>
    </xf>
    <xf numFmtId="0" fontId="34" fillId="3" borderId="151" xfId="3" applyNumberFormat="1" applyFont="1" applyFill="1" applyBorder="1" applyAlignment="1" applyProtection="1">
      <alignment horizontal="center" vertical="center" wrapText="1"/>
    </xf>
    <xf numFmtId="0" fontId="15" fillId="16" borderId="147" xfId="3" applyNumberFormat="1" applyFont="1" applyFill="1" applyBorder="1" applyAlignment="1" applyProtection="1">
      <alignment horizontal="center" vertical="center"/>
    </xf>
    <xf numFmtId="0" fontId="15" fillId="16" borderId="148" xfId="3" applyNumberFormat="1" applyFont="1" applyFill="1" applyBorder="1" applyAlignment="1" applyProtection="1">
      <alignment horizontal="center" vertical="center"/>
    </xf>
    <xf numFmtId="0" fontId="11" fillId="0" borderId="148" xfId="3" applyFont="1" applyFill="1" applyBorder="1" applyAlignment="1" applyProtection="1">
      <alignment horizontal="justify" vertical="center" wrapText="1"/>
    </xf>
    <xf numFmtId="0" fontId="34" fillId="3" borderId="152" xfId="3" applyNumberFormat="1" applyFont="1" applyFill="1" applyBorder="1" applyAlignment="1" applyProtection="1">
      <alignment horizontal="center" vertical="center" wrapText="1"/>
    </xf>
    <xf numFmtId="0" fontId="11" fillId="0" borderId="149" xfId="3" applyFont="1" applyFill="1" applyBorder="1" applyAlignment="1" applyProtection="1">
      <alignment horizontal="justify" vertical="center" wrapText="1"/>
    </xf>
    <xf numFmtId="0" fontId="15" fillId="13" borderId="144" xfId="3" applyNumberFormat="1" applyFont="1" applyFill="1" applyBorder="1" applyAlignment="1" applyProtection="1">
      <alignment horizontal="center" vertical="center" wrapText="1"/>
    </xf>
    <xf numFmtId="0" fontId="15" fillId="13" borderId="145" xfId="3" applyNumberFormat="1" applyFont="1" applyFill="1" applyBorder="1" applyAlignment="1" applyProtection="1">
      <alignment horizontal="center" vertical="center"/>
    </xf>
    <xf numFmtId="0" fontId="34" fillId="18" borderId="94" xfId="3" applyFont="1" applyFill="1" applyBorder="1" applyAlignment="1" applyProtection="1">
      <alignment horizontal="center" vertical="center"/>
    </xf>
    <xf numFmtId="0" fontId="34" fillId="18" borderId="95" xfId="3" applyFont="1" applyFill="1" applyBorder="1" applyAlignment="1" applyProtection="1">
      <alignment horizontal="center" vertical="center"/>
    </xf>
    <xf numFmtId="0" fontId="34" fillId="18" borderId="119" xfId="3" applyFont="1" applyFill="1" applyBorder="1" applyAlignment="1" applyProtection="1">
      <alignment horizontal="center" vertical="center"/>
    </xf>
    <xf numFmtId="0" fontId="33" fillId="18" borderId="127" xfId="3" applyFont="1" applyFill="1" applyBorder="1" applyAlignment="1" applyProtection="1">
      <alignment horizontal="center" vertical="center" wrapText="1"/>
    </xf>
    <xf numFmtId="0" fontId="33" fillId="18" borderId="124" xfId="3" applyFont="1" applyFill="1" applyBorder="1" applyAlignment="1" applyProtection="1">
      <alignment horizontal="center" vertical="center" wrapText="1"/>
    </xf>
    <xf numFmtId="9" fontId="42" fillId="2" borderId="64" xfId="3" applyNumberFormat="1" applyFont="1" applyFill="1" applyBorder="1" applyAlignment="1" applyProtection="1">
      <alignment horizontal="center" vertical="center"/>
      <protection hidden="1"/>
    </xf>
    <xf numFmtId="9" fontId="42" fillId="2" borderId="2" xfId="3" applyNumberFormat="1" applyFont="1" applyFill="1" applyBorder="1" applyAlignment="1" applyProtection="1">
      <alignment horizontal="center" vertical="center"/>
      <protection hidden="1"/>
    </xf>
    <xf numFmtId="0" fontId="49" fillId="3" borderId="2" xfId="0" applyFont="1" applyFill="1" applyBorder="1" applyAlignment="1">
      <alignment horizontal="center" vertical="center" wrapText="1"/>
    </xf>
    <xf numFmtId="0" fontId="49" fillId="3" borderId="3" xfId="0" applyFont="1" applyFill="1" applyBorder="1" applyAlignment="1">
      <alignment horizontal="center" vertical="center" wrapText="1"/>
    </xf>
    <xf numFmtId="0" fontId="41" fillId="3" borderId="98" xfId="0" applyFont="1" applyFill="1" applyBorder="1" applyAlignment="1">
      <alignment horizontal="center" vertical="center" wrapText="1"/>
    </xf>
    <xf numFmtId="0" fontId="41" fillId="3" borderId="99" xfId="0" applyFont="1" applyFill="1" applyBorder="1" applyAlignment="1">
      <alignment horizontal="center" vertical="center" wrapText="1"/>
    </xf>
    <xf numFmtId="0" fontId="41" fillId="3" borderId="100" xfId="0" applyFont="1" applyFill="1" applyBorder="1" applyAlignment="1">
      <alignment horizontal="center" vertical="center" wrapText="1"/>
    </xf>
    <xf numFmtId="0" fontId="41" fillId="3" borderId="44" xfId="0" applyFont="1" applyFill="1" applyBorder="1" applyAlignment="1">
      <alignment horizontal="center" vertical="center"/>
    </xf>
    <xf numFmtId="0" fontId="41" fillId="3" borderId="45" xfId="0" applyFont="1" applyFill="1" applyBorder="1" applyAlignment="1">
      <alignment horizontal="center" vertical="center"/>
    </xf>
    <xf numFmtId="0" fontId="41" fillId="3" borderId="46" xfId="0" applyFont="1" applyFill="1" applyBorder="1" applyAlignment="1">
      <alignment horizontal="center" vertical="center"/>
    </xf>
    <xf numFmtId="49" fontId="63" fillId="2" borderId="49" xfId="0" applyNumberFormat="1" applyFont="1" applyFill="1" applyBorder="1" applyAlignment="1" applyProtection="1">
      <alignment horizontal="center" vertical="top" wrapText="1"/>
      <protection locked="0"/>
    </xf>
    <xf numFmtId="49" fontId="63" fillId="2" borderId="153" xfId="0" applyNumberFormat="1" applyFont="1" applyFill="1" applyBorder="1" applyAlignment="1" applyProtection="1">
      <alignment horizontal="center" vertical="top" wrapText="1"/>
      <protection locked="0"/>
    </xf>
    <xf numFmtId="49" fontId="63" fillId="2" borderId="154" xfId="0" applyNumberFormat="1" applyFont="1" applyFill="1" applyBorder="1" applyAlignment="1" applyProtection="1">
      <alignment horizontal="center" vertical="top" wrapText="1"/>
      <protection locked="0"/>
    </xf>
    <xf numFmtId="9" fontId="64" fillId="3" borderId="97" xfId="0" applyNumberFormat="1" applyFont="1" applyFill="1" applyBorder="1" applyAlignment="1" applyProtection="1">
      <alignment horizontal="center" vertical="center"/>
      <protection hidden="1"/>
    </xf>
    <xf numFmtId="0" fontId="65" fillId="2" borderId="1" xfId="0" applyFont="1" applyFill="1" applyBorder="1" applyAlignment="1" applyProtection="1">
      <alignment horizontal="center" vertical="center"/>
      <protection locked="0"/>
    </xf>
    <xf numFmtId="164" fontId="65" fillId="2" borderId="4" xfId="0" applyNumberFormat="1" applyFont="1" applyFill="1" applyBorder="1" applyAlignment="1" applyProtection="1">
      <alignment horizontal="center" vertical="center"/>
      <protection locked="0"/>
    </xf>
    <xf numFmtId="164" fontId="65" fillId="2" borderId="5" xfId="0" applyNumberFormat="1" applyFont="1" applyFill="1" applyBorder="1" applyAlignment="1" applyProtection="1">
      <alignment horizontal="center" vertical="center"/>
      <protection locked="0"/>
    </xf>
    <xf numFmtId="164" fontId="65" fillId="2" borderId="73" xfId="0" applyNumberFormat="1" applyFont="1" applyFill="1" applyBorder="1" applyAlignment="1" applyProtection="1">
      <alignment horizontal="center" vertical="center"/>
      <protection locked="0"/>
    </xf>
    <xf numFmtId="49" fontId="66" fillId="2" borderId="52" xfId="0" applyNumberFormat="1" applyFont="1" applyFill="1" applyBorder="1" applyAlignment="1">
      <alignment horizontal="left" vertical="center" wrapText="1"/>
    </xf>
    <xf numFmtId="49" fontId="66" fillId="2" borderId="50" xfId="0" applyNumberFormat="1" applyFont="1" applyFill="1" applyBorder="1" applyAlignment="1">
      <alignment horizontal="left" vertical="center" wrapText="1"/>
    </xf>
    <xf numFmtId="49" fontId="66" fillId="2" borderId="53" xfId="0" applyNumberFormat="1" applyFont="1" applyFill="1" applyBorder="1" applyAlignment="1">
      <alignment horizontal="left" vertical="center" wrapText="1"/>
    </xf>
    <xf numFmtId="49" fontId="66" fillId="2" borderId="51" xfId="0" applyNumberFormat="1" applyFont="1" applyFill="1" applyBorder="1" applyAlignment="1">
      <alignment horizontal="left" vertical="center" wrapText="1"/>
    </xf>
  </cellXfs>
  <cellStyles count="7">
    <cellStyle name="Hipervínculo" xfId="2" builtinId="8"/>
    <cellStyle name="Normal" xfId="0" builtinId="0"/>
    <cellStyle name="Normal - Style1 2" xfId="4"/>
    <cellStyle name="Normal 2" xfId="3"/>
    <cellStyle name="Normal 2 2" xfId="5"/>
    <cellStyle name="Porcentaje" xfId="6" builtinId="5"/>
    <cellStyle name="table_head1" xfId="1"/>
  </cellStyles>
  <dxfs count="5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00B0F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00B0F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00B050"/>
        </patternFill>
      </fill>
    </dxf>
    <dxf>
      <font>
        <color rgb="FF9C0006"/>
      </font>
    </dxf>
    <dxf>
      <font>
        <color rgb="FF9C6500"/>
      </font>
      <fill>
        <patternFill>
          <bgColor rgb="FFFFEB9C"/>
        </patternFill>
      </fill>
    </dxf>
  </dxfs>
  <tableStyles count="0" defaultTableStyle="TableStyleMedium9" defaultPivotStyle="PivotStyleLight16"/>
  <colors>
    <mruColors>
      <color rgb="FFCCFF33"/>
      <color rgb="FFF7C435"/>
      <color rgb="FFFF9900"/>
      <color rgb="FF83A343"/>
      <color rgb="FFFFCC00"/>
      <color rgb="FF2E3917"/>
      <color rgb="FF262F13"/>
      <color rgb="FFF9D367"/>
      <color rgb="FF0035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1765300</xdr:colOff>
      <xdr:row>0</xdr:row>
      <xdr:rowOff>0</xdr:rowOff>
    </xdr:from>
    <xdr:to>
      <xdr:col>7</xdr:col>
      <xdr:colOff>2204378</xdr:colOff>
      <xdr:row>16</xdr:row>
      <xdr:rowOff>4250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191500" y="0"/>
          <a:ext cx="3966503" cy="225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1685925</xdr:colOff>
      <xdr:row>0</xdr:row>
      <xdr:rowOff>0</xdr:rowOff>
    </xdr:from>
    <xdr:to>
      <xdr:col>7</xdr:col>
      <xdr:colOff>2377271</xdr:colOff>
      <xdr:row>7</xdr:row>
      <xdr:rowOff>128941</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
        <a:stretch>
          <a:fillRect/>
        </a:stretch>
      </xdr:blipFill>
      <xdr:spPr>
        <a:xfrm>
          <a:off x="7534275" y="0"/>
          <a:ext cx="3958421" cy="21863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2809875</xdr:colOff>
      <xdr:row>0</xdr:row>
      <xdr:rowOff>47625</xdr:rowOff>
    </xdr:from>
    <xdr:to>
      <xdr:col>7</xdr:col>
      <xdr:colOff>441315</xdr:colOff>
      <xdr:row>13</xdr:row>
      <xdr:rowOff>157516</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5819775" y="47625"/>
          <a:ext cx="3958421" cy="21863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640773</xdr:colOff>
      <xdr:row>0</xdr:row>
      <xdr:rowOff>43296</xdr:rowOff>
    </xdr:from>
    <xdr:to>
      <xdr:col>7</xdr:col>
      <xdr:colOff>874823</xdr:colOff>
      <xdr:row>9</xdr:row>
      <xdr:rowOff>331373</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a:stretch>
          <a:fillRect/>
        </a:stretch>
      </xdr:blipFill>
      <xdr:spPr>
        <a:xfrm>
          <a:off x="5870864" y="43296"/>
          <a:ext cx="3957459" cy="2357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152400</xdr:colOff>
      <xdr:row>0</xdr:row>
      <xdr:rowOff>0</xdr:rowOff>
    </xdr:from>
    <xdr:to>
      <xdr:col>7</xdr:col>
      <xdr:colOff>547509</xdr:colOff>
      <xdr:row>12</xdr:row>
      <xdr:rowOff>63806</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6000750" y="0"/>
          <a:ext cx="3957459" cy="21497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6</xdr:col>
      <xdr:colOff>1197428</xdr:colOff>
      <xdr:row>14</xdr:row>
      <xdr:rowOff>34633</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612571" y="1726100"/>
          <a:ext cx="4395107" cy="24042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 val="[97pbth.xls][97pbth.xls]_tmp__3"/>
      <sheetName val="[97pbth.xls][97pbth.xls]_E_tm_3"/>
      <sheetName val="[97pbth.xls][97pbth.xls]_tmp__2"/>
      <sheetName val="[97pbth.xls][97pbth.xls]_E_tm_2"/>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showGridLines="0" topLeftCell="A19" zoomScale="86" zoomScaleNormal="86" workbookViewId="0">
      <selection activeCell="F26" sqref="F26:G26"/>
    </sheetView>
  </sheetViews>
  <sheetFormatPr baseColWidth="10" defaultColWidth="0" defaultRowHeight="0" customHeight="1" zeroHeight="1" x14ac:dyDescent="0.2"/>
  <cols>
    <col min="1" max="1" width="3.85546875" style="7" customWidth="1"/>
    <col min="2" max="2" width="15.28515625" style="7" customWidth="1"/>
    <col min="3" max="3" width="17.28515625" style="7" customWidth="1"/>
    <col min="4" max="4" width="28.5703125" style="7" customWidth="1"/>
    <col min="5" max="5" width="12.85546875" style="7" customWidth="1"/>
    <col min="6" max="6" width="47.140625" style="7" customWidth="1"/>
    <col min="7" max="7" width="21.42578125" style="7" customWidth="1"/>
    <col min="8" max="8" width="6.5703125" style="7" customWidth="1"/>
    <col min="9" max="9" width="2.5703125" style="7" customWidth="1"/>
    <col min="10" max="16384" width="11.42578125" style="7" hidden="1"/>
  </cols>
  <sheetData>
    <row r="1" spans="2:8" ht="13.5" thickBot="1" x14ac:dyDescent="0.25"/>
    <row r="2" spans="2:8" ht="73.5" customHeight="1" x14ac:dyDescent="0.2">
      <c r="B2" s="230" t="s">
        <v>0</v>
      </c>
      <c r="C2" s="231"/>
      <c r="D2" s="231"/>
      <c r="E2" s="231"/>
      <c r="F2" s="231"/>
      <c r="G2" s="231"/>
      <c r="H2" s="232"/>
    </row>
    <row r="3" spans="2:8" ht="12.75" x14ac:dyDescent="0.2">
      <c r="B3" s="79"/>
      <c r="C3" s="90"/>
      <c r="D3" s="90"/>
      <c r="E3" s="90"/>
      <c r="F3" s="90"/>
      <c r="G3" s="90"/>
      <c r="H3" s="80"/>
    </row>
    <row r="4" spans="2:8" ht="12.75" x14ac:dyDescent="0.2">
      <c r="B4" s="79"/>
      <c r="C4" s="90"/>
      <c r="D4" s="90"/>
      <c r="E4" s="90"/>
      <c r="F4" s="90"/>
      <c r="G4" s="90"/>
      <c r="H4" s="80"/>
    </row>
    <row r="5" spans="2:8" ht="12.75" x14ac:dyDescent="0.2">
      <c r="B5" s="81"/>
      <c r="C5" s="8"/>
      <c r="D5" s="8"/>
      <c r="E5" s="8"/>
      <c r="F5" s="8"/>
      <c r="G5" s="8"/>
      <c r="H5" s="82"/>
    </row>
    <row r="6" spans="2:8" ht="65.25" customHeight="1" x14ac:dyDescent="0.2">
      <c r="B6" s="233" t="s">
        <v>1</v>
      </c>
      <c r="C6" s="234"/>
      <c r="D6" s="234"/>
      <c r="E6" s="234"/>
      <c r="F6" s="234"/>
      <c r="G6" s="234"/>
      <c r="H6" s="235"/>
    </row>
    <row r="7" spans="2:8" ht="74.25" customHeight="1" x14ac:dyDescent="0.2">
      <c r="B7" s="233"/>
      <c r="C7" s="234"/>
      <c r="D7" s="234"/>
      <c r="E7" s="234"/>
      <c r="F7" s="234"/>
      <c r="G7" s="234"/>
      <c r="H7" s="235"/>
    </row>
    <row r="8" spans="2:8" ht="21.75" customHeight="1" x14ac:dyDescent="0.2">
      <c r="B8" s="236" t="s">
        <v>2</v>
      </c>
      <c r="C8" s="237"/>
      <c r="D8" s="237"/>
      <c r="E8" s="237"/>
      <c r="F8" s="237"/>
      <c r="G8" s="237"/>
      <c r="H8" s="238"/>
    </row>
    <row r="9" spans="2:8" ht="42" customHeight="1" x14ac:dyDescent="0.2">
      <c r="B9" s="260" t="s">
        <v>3</v>
      </c>
      <c r="C9" s="261"/>
      <c r="D9" s="261"/>
      <c r="E9" s="261"/>
      <c r="F9" s="261"/>
      <c r="G9" s="261"/>
      <c r="H9" s="262"/>
    </row>
    <row r="10" spans="2:8" ht="43.5" customHeight="1" x14ac:dyDescent="0.2">
      <c r="B10" s="260"/>
      <c r="C10" s="261"/>
      <c r="D10" s="261"/>
      <c r="E10" s="261"/>
      <c r="F10" s="261"/>
      <c r="G10" s="261"/>
      <c r="H10" s="262"/>
    </row>
    <row r="11" spans="2:8" ht="12.75" customHeight="1" thickBot="1" x14ac:dyDescent="0.25">
      <c r="B11" s="79"/>
      <c r="C11" s="90"/>
      <c r="D11" s="9"/>
      <c r="E11" s="10"/>
      <c r="F11" s="10"/>
      <c r="G11" s="11"/>
      <c r="H11" s="83"/>
    </row>
    <row r="12" spans="2:8" ht="21" customHeight="1" thickTop="1" x14ac:dyDescent="0.2">
      <c r="B12" s="79"/>
      <c r="C12" s="271" t="s">
        <v>4</v>
      </c>
      <c r="D12" s="272"/>
      <c r="E12" s="263" t="s">
        <v>5</v>
      </c>
      <c r="F12" s="264"/>
      <c r="G12" s="90"/>
      <c r="H12" s="80"/>
    </row>
    <row r="13" spans="2:8" ht="37.5" customHeight="1" x14ac:dyDescent="0.2">
      <c r="B13" s="79"/>
      <c r="C13" s="269" t="s">
        <v>6</v>
      </c>
      <c r="D13" s="270"/>
      <c r="E13" s="265" t="s">
        <v>7</v>
      </c>
      <c r="F13" s="266"/>
      <c r="G13" s="90"/>
      <c r="H13" s="80"/>
    </row>
    <row r="14" spans="2:8" ht="39.75" customHeight="1" x14ac:dyDescent="0.2">
      <c r="B14" s="79"/>
      <c r="C14" s="241" t="s">
        <v>8</v>
      </c>
      <c r="D14" s="242"/>
      <c r="E14" s="247" t="s">
        <v>9</v>
      </c>
      <c r="F14" s="248"/>
      <c r="G14" s="90"/>
      <c r="H14" s="80"/>
    </row>
    <row r="15" spans="2:8" ht="180.75" customHeight="1" x14ac:dyDescent="0.2">
      <c r="B15" s="79"/>
      <c r="C15" s="241" t="s">
        <v>10</v>
      </c>
      <c r="D15" s="242"/>
      <c r="E15" s="247" t="s">
        <v>11</v>
      </c>
      <c r="F15" s="248"/>
      <c r="G15" s="90"/>
      <c r="H15" s="80"/>
    </row>
    <row r="16" spans="2:8" ht="15.75" customHeight="1" x14ac:dyDescent="0.2">
      <c r="B16" s="79"/>
      <c r="C16" s="243" t="s">
        <v>12</v>
      </c>
      <c r="D16" s="19" t="s">
        <v>13</v>
      </c>
      <c r="E16" s="247" t="s">
        <v>14</v>
      </c>
      <c r="F16" s="248"/>
      <c r="G16" s="90"/>
      <c r="H16" s="80"/>
    </row>
    <row r="17" spans="2:8" ht="54" customHeight="1" x14ac:dyDescent="0.2">
      <c r="B17" s="79"/>
      <c r="C17" s="244"/>
      <c r="D17" s="49" t="s">
        <v>15</v>
      </c>
      <c r="E17" s="254" t="s">
        <v>16</v>
      </c>
      <c r="F17" s="255"/>
      <c r="G17" s="90"/>
      <c r="H17" s="80"/>
    </row>
    <row r="18" spans="2:8" ht="98.25" customHeight="1" x14ac:dyDescent="0.2">
      <c r="B18" s="79"/>
      <c r="C18" s="244"/>
      <c r="D18" s="49" t="s">
        <v>17</v>
      </c>
      <c r="E18" s="254" t="s">
        <v>18</v>
      </c>
      <c r="F18" s="255"/>
      <c r="G18" s="90"/>
      <c r="H18" s="80"/>
    </row>
    <row r="19" spans="2:8" ht="83.25" customHeight="1" thickBot="1" x14ac:dyDescent="0.25">
      <c r="B19" s="79"/>
      <c r="C19" s="245" t="s">
        <v>19</v>
      </c>
      <c r="D19" s="246"/>
      <c r="E19" s="267" t="s">
        <v>20</v>
      </c>
      <c r="F19" s="268"/>
      <c r="G19" s="90"/>
      <c r="H19" s="80"/>
    </row>
    <row r="20" spans="2:8" ht="19.5" customHeight="1" thickTop="1" x14ac:dyDescent="0.2">
      <c r="B20" s="79"/>
      <c r="C20" s="12"/>
      <c r="D20" s="12"/>
      <c r="E20" s="13"/>
      <c r="F20" s="13"/>
      <c r="G20" s="90"/>
      <c r="H20" s="80"/>
    </row>
    <row r="21" spans="2:8" ht="37.5" customHeight="1" x14ac:dyDescent="0.2">
      <c r="B21" s="256" t="s">
        <v>21</v>
      </c>
      <c r="C21" s="257"/>
      <c r="D21" s="257"/>
      <c r="E21" s="257"/>
      <c r="F21" s="257"/>
      <c r="G21" s="257"/>
      <c r="H21" s="258"/>
    </row>
    <row r="22" spans="2:8" ht="27.75" customHeight="1" x14ac:dyDescent="0.2">
      <c r="B22" s="79"/>
      <c r="C22" s="90"/>
      <c r="D22" s="90"/>
      <c r="E22" s="90"/>
      <c r="F22" s="90"/>
      <c r="G22" s="90"/>
      <c r="H22" s="80"/>
    </row>
    <row r="23" spans="2:8" ht="27.75" customHeight="1" x14ac:dyDescent="0.2">
      <c r="B23" s="79"/>
      <c r="C23" s="181" t="s">
        <v>22</v>
      </c>
      <c r="D23" s="250" t="s">
        <v>5</v>
      </c>
      <c r="E23" s="250"/>
      <c r="F23" s="250" t="s">
        <v>23</v>
      </c>
      <c r="G23" s="250"/>
      <c r="H23" s="80"/>
    </row>
    <row r="24" spans="2:8" ht="59.25" customHeight="1" x14ac:dyDescent="0.2">
      <c r="B24" s="79"/>
      <c r="C24" s="106" t="s">
        <v>24</v>
      </c>
      <c r="D24" s="249" t="s">
        <v>25</v>
      </c>
      <c r="E24" s="249"/>
      <c r="F24" s="249" t="s">
        <v>26</v>
      </c>
      <c r="G24" s="249"/>
      <c r="H24" s="80"/>
    </row>
    <row r="25" spans="2:8" ht="53.25" customHeight="1" x14ac:dyDescent="0.2">
      <c r="B25" s="79"/>
      <c r="C25" s="107" t="s">
        <v>27</v>
      </c>
      <c r="D25" s="249" t="s">
        <v>28</v>
      </c>
      <c r="E25" s="249"/>
      <c r="F25" s="249" t="s">
        <v>29</v>
      </c>
      <c r="G25" s="249"/>
      <c r="H25" s="80"/>
    </row>
    <row r="26" spans="2:8" ht="62.25" customHeight="1" x14ac:dyDescent="0.2">
      <c r="B26" s="79"/>
      <c r="C26" s="108" t="s">
        <v>30</v>
      </c>
      <c r="D26" s="249" t="s">
        <v>31</v>
      </c>
      <c r="E26" s="249"/>
      <c r="F26" s="249" t="s">
        <v>32</v>
      </c>
      <c r="G26" s="249"/>
      <c r="H26" s="80"/>
    </row>
    <row r="27" spans="2:8" ht="70.5" customHeight="1" x14ac:dyDescent="0.2">
      <c r="B27" s="79"/>
      <c r="C27" s="109" t="s">
        <v>33</v>
      </c>
      <c r="D27" s="249" t="s">
        <v>34</v>
      </c>
      <c r="E27" s="249"/>
      <c r="F27" s="249" t="s">
        <v>35</v>
      </c>
      <c r="G27" s="249"/>
      <c r="H27" s="80"/>
    </row>
    <row r="28" spans="2:8" ht="11.25" customHeight="1" x14ac:dyDescent="0.2">
      <c r="B28" s="84"/>
      <c r="C28" s="78"/>
      <c r="D28" s="78"/>
      <c r="E28" s="78"/>
      <c r="F28" s="78"/>
      <c r="G28" s="78"/>
      <c r="H28" s="85"/>
    </row>
    <row r="29" spans="2:8" ht="14.25" customHeight="1" x14ac:dyDescent="0.2">
      <c r="B29" s="179"/>
      <c r="C29" s="239"/>
      <c r="D29" s="239"/>
      <c r="E29" s="240"/>
      <c r="F29" s="240"/>
      <c r="G29" s="240"/>
      <c r="H29" s="180"/>
    </row>
    <row r="30" spans="2:8" ht="27.75" customHeight="1" x14ac:dyDescent="0.2">
      <c r="B30" s="256" t="s">
        <v>36</v>
      </c>
      <c r="C30" s="257"/>
      <c r="D30" s="257"/>
      <c r="E30" s="257"/>
      <c r="F30" s="257"/>
      <c r="G30" s="257"/>
      <c r="H30" s="258"/>
    </row>
    <row r="31" spans="2:8" ht="13.5" x14ac:dyDescent="0.2">
      <c r="B31" s="79"/>
      <c r="C31" s="14"/>
      <c r="D31" s="14"/>
      <c r="E31" s="259"/>
      <c r="F31" s="259"/>
      <c r="G31" s="90"/>
      <c r="H31" s="80"/>
    </row>
    <row r="32" spans="2:8" ht="16.5" x14ac:dyDescent="0.2">
      <c r="B32" s="251" t="s">
        <v>37</v>
      </c>
      <c r="C32" s="252"/>
      <c r="D32" s="252"/>
      <c r="E32" s="252"/>
      <c r="F32" s="252"/>
      <c r="G32" s="252"/>
      <c r="H32" s="253"/>
    </row>
    <row r="33" spans="2:8" ht="13.5" thickBot="1" x14ac:dyDescent="0.25">
      <c r="B33" s="86"/>
      <c r="C33" s="87"/>
      <c r="D33" s="87"/>
      <c r="E33" s="87"/>
      <c r="F33" s="87"/>
      <c r="G33" s="87"/>
      <c r="H33" s="88"/>
    </row>
    <row r="34" spans="2:8" ht="12.75" x14ac:dyDescent="0.2"/>
    <row r="35" spans="2:8" ht="29.25" customHeight="1" x14ac:dyDescent="0.2"/>
    <row r="36" spans="2:8" ht="26.25" customHeight="1" x14ac:dyDescent="0.2"/>
    <row r="37" spans="2:8" ht="43.5" customHeight="1" x14ac:dyDescent="0.2"/>
    <row r="38" spans="2:8" ht="53.25" customHeight="1" x14ac:dyDescent="0.2"/>
    <row r="39" spans="2:8" ht="12.75" x14ac:dyDescent="0.2"/>
    <row r="40" spans="2:8" ht="12.75" x14ac:dyDescent="0.2"/>
    <row r="41" spans="2:8" ht="12.75" x14ac:dyDescent="0.2"/>
    <row r="42" spans="2:8" ht="12.75" x14ac:dyDescent="0.2"/>
    <row r="43" spans="2:8" ht="12.75" x14ac:dyDescent="0.2"/>
    <row r="44" spans="2:8" ht="12.75" x14ac:dyDescent="0.2"/>
    <row r="45" spans="2:8" ht="12.75" customHeight="1" x14ac:dyDescent="0.2"/>
    <row r="46" spans="2:8" ht="12.75" customHeight="1" x14ac:dyDescent="0.2"/>
    <row r="47" spans="2:8" ht="12.75" customHeight="1" x14ac:dyDescent="0.2"/>
    <row r="48" spans="2: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sheetData>
  <sheetProtection selectLockedCells="1" selectUnlockedCells="1"/>
  <mergeCells count="34">
    <mergeCell ref="B9:H10"/>
    <mergeCell ref="E12:F12"/>
    <mergeCell ref="E13:F13"/>
    <mergeCell ref="E19:F19"/>
    <mergeCell ref="E15:F15"/>
    <mergeCell ref="C14:D14"/>
    <mergeCell ref="C13:D13"/>
    <mergeCell ref="C12:D12"/>
    <mergeCell ref="E14:F14"/>
    <mergeCell ref="E17:F17"/>
    <mergeCell ref="F25:G25"/>
    <mergeCell ref="D25:E25"/>
    <mergeCell ref="B32:H32"/>
    <mergeCell ref="E18:F18"/>
    <mergeCell ref="B21:H21"/>
    <mergeCell ref="E31:F31"/>
    <mergeCell ref="D26:E26"/>
    <mergeCell ref="B30:H30"/>
    <mergeCell ref="B2:H2"/>
    <mergeCell ref="B6:H7"/>
    <mergeCell ref="B8:H8"/>
    <mergeCell ref="C29:D29"/>
    <mergeCell ref="E29:G29"/>
    <mergeCell ref="C15:D15"/>
    <mergeCell ref="C16:C18"/>
    <mergeCell ref="C19:D19"/>
    <mergeCell ref="E16:F16"/>
    <mergeCell ref="D24:E24"/>
    <mergeCell ref="D23:E23"/>
    <mergeCell ref="F26:G26"/>
    <mergeCell ref="F27:G27"/>
    <mergeCell ref="F23:G23"/>
    <mergeCell ref="D27:E27"/>
    <mergeCell ref="F24:G2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2"/>
  <sheetViews>
    <sheetView workbookViewId="0"/>
  </sheetViews>
  <sheetFormatPr baseColWidth="10" defaultColWidth="11.42578125" defaultRowHeight="12.75" x14ac:dyDescent="0.2"/>
  <cols>
    <col min="2" max="4" width="22.28515625" customWidth="1"/>
    <col min="5" max="5" width="34.5703125" customWidth="1"/>
    <col min="6" max="6" width="36.42578125" bestFit="1" customWidth="1"/>
    <col min="8" max="8" width="12.28515625" bestFit="1" customWidth="1"/>
    <col min="9" max="9" width="12.7109375" customWidth="1"/>
    <col min="13" max="14" width="17.5703125" customWidth="1"/>
  </cols>
  <sheetData>
    <row r="1" spans="1:19" ht="81.75" customHeight="1" x14ac:dyDescent="0.2">
      <c r="A1" s="189" t="s">
        <v>111</v>
      </c>
      <c r="B1" s="189" t="s">
        <v>330</v>
      </c>
      <c r="C1" s="190" t="s">
        <v>331</v>
      </c>
      <c r="D1" s="190" t="s">
        <v>332</v>
      </c>
      <c r="E1" s="190" t="s">
        <v>333</v>
      </c>
      <c r="F1" s="189" t="s">
        <v>135</v>
      </c>
      <c r="G1" s="191" t="s">
        <v>334</v>
      </c>
      <c r="H1" s="191" t="s">
        <v>335</v>
      </c>
      <c r="I1" s="191" t="s">
        <v>336</v>
      </c>
      <c r="J1" s="191" t="s">
        <v>80</v>
      </c>
      <c r="K1" s="191" t="s">
        <v>89</v>
      </c>
      <c r="L1" s="191" t="s">
        <v>337</v>
      </c>
      <c r="M1" s="91" t="s">
        <v>338</v>
      </c>
      <c r="N1" s="91"/>
    </row>
    <row r="2" spans="1:19" ht="12.75" customHeight="1" x14ac:dyDescent="0.2">
      <c r="A2" s="176" t="s">
        <v>339</v>
      </c>
      <c r="B2" s="176" t="str">
        <f>+LEFT(A2,1)</f>
        <v>1</v>
      </c>
      <c r="C2" s="176" t="str">
        <f>+MID(VLOOKUP(A2,'Ambiente de Control'!$B$21:$C$235,2,0),4,LEN(VLOOKUP(A2,'Ambiente de Control'!$B$21:$C$235,2,0))-4)</f>
        <v xml:space="preserve"> Aplicación del Código de Integridad. (incluye análisis de desviaciones, convivencia laboral, temas disciplinarios internos, quejas o denuncias sobres los servidores de la entidad, u otros temas relacionados)</v>
      </c>
      <c r="D2" s="176" t="s">
        <v>340</v>
      </c>
      <c r="E2" s="176" t="str">
        <f>+VLOOKUP(A2,'Ambiente de Control'!$B$21:$D$235,3,0)</f>
        <v>Dimensión Talento Humano
Política Integridad</v>
      </c>
      <c r="F2" s="176" t="str">
        <f>+VLOOKUP(A2,'Ambiente de Control'!$B$21:$K$235,10,0)</f>
        <v>Deficiencia de control (diseño o ejecución)</v>
      </c>
      <c r="G2" s="176">
        <f>+VLOOKUP(A2,'Ambiente de Control'!$B$21:$O$39,13)</f>
        <v>20.045870000000001</v>
      </c>
      <c r="H2" s="178">
        <f>+_xlfn.RANK.EQ(G2,$G$2:$G$82,1)</f>
        <v>4</v>
      </c>
      <c r="I2" s="176" t="str">
        <f t="shared" ref="I2:I33" si="0">+IF(F2=$F$2,$P$4,IF(F2=$F$3,$P$2,$P$3))</f>
        <v>Cuando en el análisis de los requerimientos en los diferenes componentes del MECI se cuente con aspectos evaluados en nivel 1 (presente) y 1 (funcionando); 2 (presente) y 1 (funcionando).</v>
      </c>
      <c r="J2" s="176" t="s">
        <v>341</v>
      </c>
      <c r="K2" s="176">
        <f>+IF(ISBLANK(VLOOKUP(A2,'Ambiente de Control'!$B$24:$F$235,5,0)),"",VLOOKUP(A2,'Ambiente de Control'!$B$24:$F$235,5,0))</f>
        <v>2</v>
      </c>
      <c r="L2" s="176">
        <f>+IF(ISBLANK(VLOOKUP(A2,'Ambiente de Control'!$B$24:$K$235,9,0)),"",VLOOKUP(A2,'Ambiente de Control'!$B$24:$K$235,9,0))</f>
        <v>2</v>
      </c>
      <c r="M2" s="176">
        <f t="shared" ref="M2" si="1">+IF(OR(AND(K2=1,L2=1),AND(ISBLANK(K2),ISBLANK(L2)),K2="",L2=""),0,IF(OR(AND(K2=1,L2=2),AND(K2=1,L2=3)),0.25,IF(OR(AND(K2=2,L2=2),AND(K2=3,L2=1),AND(K2=3,L2=2),AND(K2=2,L2=1)),0.5,IF(AND(K2=2,L2=3),0.75,1))))</f>
        <v>0.5</v>
      </c>
      <c r="N2" s="176">
        <f>+AVERAGEIF($D$2:$D$82,D2,$M$2:$M$82)</f>
        <v>0.58333333333333337</v>
      </c>
      <c r="O2" s="174" t="s">
        <v>27</v>
      </c>
      <c r="P2" s="175" t="s">
        <v>342</v>
      </c>
      <c r="Q2" s="175"/>
      <c r="R2" s="176"/>
      <c r="S2" s="176"/>
    </row>
    <row r="3" spans="1:19" ht="12.75" customHeight="1" x14ac:dyDescent="0.2">
      <c r="A3" s="176" t="s">
        <v>343</v>
      </c>
      <c r="B3" s="176" t="str">
        <f t="shared" ref="B3:B42" si="2">+LEFT(A3,1)</f>
        <v>1</v>
      </c>
      <c r="C3" s="176" t="str">
        <f>+MID(VLOOKUP(A3,'Ambiente de Control'!$B$21:$C$235,2,0),4,LEN(VLOOKUP(A3,'Ambiente de Control'!$B$21:$C$235,2,0))-4)</f>
        <v xml:space="preserve"> Mecanismos para el manejo de conflictos de interés.</v>
      </c>
      <c r="D3" s="176" t="s">
        <v>340</v>
      </c>
      <c r="E3" s="176" t="str">
        <f>+VLOOKUP(A3,'Ambiente de Control'!$B$21:$D$235,3,0)</f>
        <v>Dimensión Talento Humano
Política Integridad</v>
      </c>
      <c r="F3" s="176" t="str">
        <f>+VLOOKUP(A3,'Ambiente de Control'!$B$21:$K$235,10,0)</f>
        <v>Deficiencia de control mayor (diseño y ejecución)</v>
      </c>
      <c r="G3" s="176">
        <f>+VLOOKUP(A3,'Ambiente de Control'!$B$21:$O$235,13,0)</f>
        <v>4.0556900000000002</v>
      </c>
      <c r="H3" s="178">
        <f t="shared" ref="H3:H70" si="3">+_xlfn.RANK.EQ(G3,$G$2:$G$82,1)</f>
        <v>1</v>
      </c>
      <c r="I3" s="176" t="str">
        <f t="shared" si="0"/>
        <v>Cuando en el análisis de los requerimientos en los diferenes componentes del MECI se cuente con aspectos evaluados en nivel 2 (presente) y 3 (funcionando).</v>
      </c>
      <c r="J3" s="176" t="s">
        <v>341</v>
      </c>
      <c r="K3" s="176">
        <f>+IF(ISBLANK(VLOOKUP(A3,'Ambiente de Control'!$B$24:$F$235,5,0)),"",VLOOKUP(A3,'Ambiente de Control'!$B$24:$F$235,5,0))</f>
        <v>1</v>
      </c>
      <c r="L3" s="176">
        <f>+IF(ISBLANK(VLOOKUP(A3,'Ambiente de Control'!$B$24:$K$235,9,0)),"",VLOOKUP(A3,'Ambiente de Control'!$B$24:$K$235,9,0))</f>
        <v>1</v>
      </c>
      <c r="M3" s="176">
        <f>+IF(OR(AND(K3=1,L3=1),AND(ISBLANK(K3),ISBLANK(L3)),K3="",L3=""),0,IF(OR(AND(K3=1,L3=2),AND(K3=1,L3=3)),0.25,IF(OR(AND(K3=2,L3=2),AND(K3=3,L3=1),AND(K3=3,L3=2),AND(K3=2,L3=1)),0.5,IF(AND(K3=2,L3=3),0.75,1))))</f>
        <v>0</v>
      </c>
      <c r="N3" s="176">
        <f t="shared" ref="N3:N70" si="4">+AVERAGEIF($D$2:$D$82,D3,$M$2:$M$82)</f>
        <v>0.58333333333333337</v>
      </c>
      <c r="O3" s="177" t="s">
        <v>30</v>
      </c>
      <c r="P3" s="175" t="s">
        <v>344</v>
      </c>
      <c r="Q3" s="175"/>
      <c r="R3" s="176" t="s">
        <v>345</v>
      </c>
      <c r="S3" s="176"/>
    </row>
    <row r="4" spans="1:19" ht="16.5" customHeight="1" x14ac:dyDescent="0.2">
      <c r="A4" s="176" t="s">
        <v>346</v>
      </c>
      <c r="B4" s="176" t="str">
        <f t="shared" si="2"/>
        <v>1</v>
      </c>
      <c r="C4" s="176" t="str">
        <f>+MID(VLOOKUP(A4,'Ambiente de Control'!$B$21:$C$235,2,0),4,LEN(VLOOKUP(A4,'Ambiente de Control'!$B$21:$C$235,2,0))-4)</f>
        <v xml:space="preserve"> Mecanismos frente a la detección y prevención del uso inadecuado de información privilegiada u otras situaciones que puedan implicar riesgos para la entidad</v>
      </c>
      <c r="D4" s="176" t="s">
        <v>340</v>
      </c>
      <c r="E4" s="176" t="str">
        <f>+VLOOKUP(A4,'Ambiente de Control'!$B$21:$D$235,3,0)</f>
        <v>Dimensión Información y Comunicación
Política Transparencia y Acceso a la Información Pública
Política Gestión Documental</v>
      </c>
      <c r="F4" s="176" t="str">
        <f>+VLOOKUP(A4,'Ambiente de Control'!$B$21:$K$235,10,0)</f>
        <v>Deficiencia de control mayor (diseño y ejecución)</v>
      </c>
      <c r="G4" s="176">
        <f>+VLOOKUP(A4,'Ambiente de Control'!$B$21:$O$235,13,0)</f>
        <v>4.0668959999999998</v>
      </c>
      <c r="H4" s="178">
        <f t="shared" si="3"/>
        <v>2</v>
      </c>
      <c r="I4" s="176" t="str">
        <f t="shared" si="0"/>
        <v>Cuando en el análisis de los requerimientos en los diferenes componentes del MECI se cuente con aspectos evaluados en nivel 2 (presente) y 3 (funcionando).</v>
      </c>
      <c r="J4" s="176" t="s">
        <v>341</v>
      </c>
      <c r="K4" s="176">
        <f>+IF(ISBLANK(VLOOKUP(A4,'Ambiente de Control'!$B$24:$F$235,5,0)),"",VLOOKUP(A4,'Ambiente de Control'!$B$24:$F$235,5,0))</f>
        <v>1</v>
      </c>
      <c r="L4" s="176">
        <f>+IF(ISBLANK(VLOOKUP(A4,'Ambiente de Control'!$B$24:$K$235,9,0)),"",VLOOKUP(A4,'Ambiente de Control'!$B$24:$K$235,9,0))</f>
        <v>1</v>
      </c>
      <c r="M4" s="176">
        <f t="shared" ref="M4:M67" si="5">+IF(OR(AND(K4=1,L4=1),AND(ISBLANK(K4),ISBLANK(L4)),K4="",L4=""),0,IF(OR(AND(K4=1,L4=2),AND(K4=1,L4=3)),0.25,IF(OR(AND(K4=2,L4=2),AND(K4=3,L4=1),AND(K4=3,L4=2),AND(K4=2,L4=1)),0.5,IF(AND(K4=2,L4=3),0.75,1))))</f>
        <v>0</v>
      </c>
      <c r="N4" s="176">
        <f t="shared" si="4"/>
        <v>0.58333333333333337</v>
      </c>
      <c r="O4" s="177" t="s">
        <v>33</v>
      </c>
      <c r="P4" s="175" t="s">
        <v>347</v>
      </c>
      <c r="Q4" s="175"/>
      <c r="R4" s="176"/>
      <c r="S4" s="176"/>
    </row>
    <row r="5" spans="1:19" x14ac:dyDescent="0.2">
      <c r="A5" s="176" t="s">
        <v>348</v>
      </c>
      <c r="B5" s="176" t="str">
        <f t="shared" si="2"/>
        <v>1</v>
      </c>
      <c r="C5" s="176" t="str">
        <f>+MID(VLOOKUP(A5,'Ambiente de Control'!$B$21:$C$235,2,0),4,LEN(VLOOKUP(A5,'Ambiente de Control'!$B$21:$C$235,2,0))-4)</f>
        <v xml:space="preserve"> La evaluación de las acciones transversales de integridad, mediante el monitoreo permanente de los riesgos de corrupción.</v>
      </c>
      <c r="D5" s="176" t="s">
        <v>340</v>
      </c>
      <c r="E5" s="176" t="str">
        <f>+VLOOKUP(A5,'Ambiente de Control'!$B$21:$D$235,3,0)</f>
        <v>Dimension Talento Humano
Politica de Integridad</v>
      </c>
      <c r="F5" s="176" t="str">
        <f>+VLOOKUP(A5,'Ambiente de Control'!$B$21:$K$235,10,0)</f>
        <v>Deficiencia de control (diseño o ejecución)</v>
      </c>
      <c r="G5" s="176">
        <f>+VLOOKUP(A5,'Ambiente de Control'!$B$21:$O$235,13,0)</f>
        <v>20.06691</v>
      </c>
      <c r="H5" s="178">
        <f t="shared" si="3"/>
        <v>5</v>
      </c>
      <c r="I5" s="176" t="str">
        <f t="shared" si="0"/>
        <v>Cuando en el análisis de los requerimientos en los diferenes componentes del MECI se cuente con aspectos evaluados en nivel 1 (presente) y 1 (funcionando); 2 (presente) y 1 (funcionando).</v>
      </c>
      <c r="J5" s="176" t="s">
        <v>341</v>
      </c>
      <c r="K5" s="176">
        <f>+IF(ISBLANK(VLOOKUP(A5,'Ambiente de Control'!$B$24:$F$235,5,0)),"",VLOOKUP(A5,'Ambiente de Control'!$B$24:$F$235,5,0))</f>
        <v>3</v>
      </c>
      <c r="L5" s="176">
        <f>+IF(ISBLANK(VLOOKUP(A5,'Ambiente de Control'!$B$24:$K$235,9,0)),"",VLOOKUP(A5,'Ambiente de Control'!$B$24:$K$235,9,0))</f>
        <v>2</v>
      </c>
      <c r="M5" s="176">
        <f t="shared" si="5"/>
        <v>0.5</v>
      </c>
      <c r="N5" s="176">
        <f t="shared" si="4"/>
        <v>0.58333333333333337</v>
      </c>
      <c r="O5" s="176"/>
      <c r="P5" s="176"/>
    </row>
    <row r="6" spans="1:19" x14ac:dyDescent="0.2">
      <c r="A6" s="176" t="s">
        <v>349</v>
      </c>
      <c r="B6" s="176" t="str">
        <f t="shared" si="2"/>
        <v>1</v>
      </c>
      <c r="C6" s="176" t="str">
        <f>+MID(VLOOKUP(A6,'Ambiente de Control'!$B$21:$C$235,2,0),4,LEN(VLOOKUP(A6,'Ambiente de Control'!$B$21:$C$235,2,0))-4)</f>
        <v xml:space="preserve">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v>
      </c>
      <c r="D6" s="176" t="s">
        <v>340</v>
      </c>
      <c r="E6" s="176" t="str">
        <f>+VLOOKUP(A6,'Ambiente de Control'!$B$21:$D$235,3,0)</f>
        <v>Dimensión Direccionamiento Estratégico y Planeación
Plan Anticorrupción y de Atención al Ciudadano</v>
      </c>
      <c r="F6" s="176" t="str">
        <f>+VLOOKUP(A6,'Ambiente de Control'!$B$21:$K$235,10,0)</f>
        <v>Mantenimiento del control</v>
      </c>
      <c r="G6" s="176">
        <f>+VLOOKUP(A6,'Ambiente de Control'!$B$21:$O$235,13,0)</f>
        <v>60.073568999999999</v>
      </c>
      <c r="H6" s="178">
        <f t="shared" si="3"/>
        <v>18</v>
      </c>
      <c r="I6" s="176" t="str">
        <f t="shared" si="0"/>
        <v>Cuando en el análisis de los requerimientos en los diferenes componentes del MECI se cuente con aspectos evaluados en nivel 2 (presente) y 2 (funcionando); 3 (presente) y 1 (funcionando); 3 (presente) y 2 (funcionando).</v>
      </c>
      <c r="J6" s="176" t="s">
        <v>341</v>
      </c>
      <c r="K6" s="176">
        <f>+IF(ISBLANK(VLOOKUP(A6,'Ambiente de Control'!$B$24:$F$235,5,0)),"",VLOOKUP(A6,'Ambiente de Control'!$B$24:$F$235,5,0))</f>
        <v>3</v>
      </c>
      <c r="L6" s="176">
        <f>+IF(ISBLANK(VLOOKUP(A6,'Ambiente de Control'!$B$24:$K$235,9,0)),"",VLOOKUP(A6,'Ambiente de Control'!$B$24:$K$235,9,0))</f>
        <v>3</v>
      </c>
      <c r="M6" s="176">
        <f t="shared" si="5"/>
        <v>1</v>
      </c>
      <c r="N6" s="176">
        <f t="shared" si="4"/>
        <v>0.58333333333333337</v>
      </c>
      <c r="O6" s="176"/>
      <c r="P6" s="176"/>
    </row>
    <row r="7" spans="1:19" x14ac:dyDescent="0.2">
      <c r="A7" s="176" t="s">
        <v>350</v>
      </c>
      <c r="B7" s="176" t="str">
        <f t="shared" si="2"/>
        <v>2</v>
      </c>
      <c r="C7" s="176" t="str">
        <f>+MID(VLOOKUP(A7,'Ambiente de Control'!$B$21:$C$235,2,0),4,LEN(VLOOKUP(A7,'Ambiente de Control'!$B$21:$C$235,2,0))-4)</f>
        <v xml:space="preserve"> Creación o actualización del Comité Institucional de Coordinación de Control Interno (incluye ajustes en periodicidad para reunión, articulación con el Comité Institucioanl de Gestión y Desempeño)</v>
      </c>
      <c r="D7" s="176" t="s">
        <v>340</v>
      </c>
      <c r="E7" s="176" t="str">
        <f>+VLOOKUP(A7,'Ambiente de Control'!$B$21:$D$235,3,0)</f>
        <v>Dimension Control Interno
Politica de Control Interno</v>
      </c>
      <c r="F7" s="176" t="str">
        <f>+VLOOKUP(A7,'Ambiente de Control'!$B$21:$K$235,10,0)</f>
        <v>Mantenimiento del control</v>
      </c>
      <c r="G7" s="176">
        <f>+VLOOKUP(A7,'Ambiente de Control'!$B$21:$O$235,13,0)</f>
        <v>60.088965299999998</v>
      </c>
      <c r="H7" s="178">
        <f t="shared" si="3"/>
        <v>19</v>
      </c>
      <c r="I7" s="176" t="str">
        <f t="shared" si="0"/>
        <v>Cuando en el análisis de los requerimientos en los diferenes componentes del MECI se cuente con aspectos evaluados en nivel 2 (presente) y 2 (funcionando); 3 (presente) y 1 (funcionando); 3 (presente) y 2 (funcionando).</v>
      </c>
      <c r="J7" s="176" t="s">
        <v>351</v>
      </c>
      <c r="K7" s="176">
        <f>+IF(ISBLANK(VLOOKUP(A7,'Ambiente de Control'!$B$24:$F$235,5,0)),"",VLOOKUP(A7,'Ambiente de Control'!$B$24:$F$235,5,0))</f>
        <v>3</v>
      </c>
      <c r="L7" s="176">
        <f>+IF(ISBLANK(VLOOKUP(A7,'Ambiente de Control'!$B$24:$K$235,9,0)),"",VLOOKUP(A7,'Ambiente de Control'!$B$24:$K$235,9,0))</f>
        <v>3</v>
      </c>
      <c r="M7" s="176">
        <f t="shared" si="5"/>
        <v>1</v>
      </c>
      <c r="N7" s="176">
        <f t="shared" si="4"/>
        <v>0.58333333333333337</v>
      </c>
      <c r="O7" s="176"/>
      <c r="P7" s="176"/>
    </row>
    <row r="8" spans="1:19" x14ac:dyDescent="0.2">
      <c r="A8" s="176" t="s">
        <v>352</v>
      </c>
      <c r="B8" s="176" t="str">
        <f t="shared" si="2"/>
        <v>2</v>
      </c>
      <c r="C8" s="176" t="str">
        <f>+MID(VLOOKUP(A8,'Ambiente de Control'!$B$21:$C$235,2,0),4,LEN(VLOOKUP(A8,'Ambiente de Control'!$B$21:$C$235,2,0))-4)</f>
        <v xml:space="preserve"> Definición y documentación del Esquema de Líneas de Defens</v>
      </c>
      <c r="D8" s="176" t="s">
        <v>340</v>
      </c>
      <c r="E8" s="176" t="str">
        <f>+VLOOKUP(A8,'Ambiente de Control'!$B$21:$D$235,3,0)</f>
        <v>Dimension Control Interno
Politica de Control Interno
Lineas de defensa</v>
      </c>
      <c r="F8" s="176" t="str">
        <f>+VLOOKUP(A8,'Ambiente de Control'!$B$21:$K$235,10,0)</f>
        <v>Mantenimiento del control</v>
      </c>
      <c r="G8" s="176">
        <f>+VLOOKUP(A8,'Ambiente de Control'!$B$21:$O$235,13,0)</f>
        <v>60.098965300000003</v>
      </c>
      <c r="H8" s="178">
        <f t="shared" si="3"/>
        <v>20</v>
      </c>
      <c r="I8" s="176" t="str">
        <f t="shared" si="0"/>
        <v>Cuando en el análisis de los requerimientos en los diferenes componentes del MECI se cuente con aspectos evaluados en nivel 2 (presente) y 2 (funcionando); 3 (presente) y 1 (funcionando); 3 (presente) y 2 (funcionando).</v>
      </c>
      <c r="J8" s="176" t="s">
        <v>351</v>
      </c>
      <c r="K8" s="176">
        <f>+IF(ISBLANK(VLOOKUP(A8,'Ambiente de Control'!$B$24:$F$235,5,0)),"",VLOOKUP(A8,'Ambiente de Control'!$B$24:$F$235,5,0))</f>
        <v>3</v>
      </c>
      <c r="L8" s="176">
        <f>+IF(ISBLANK(VLOOKUP(A8,'Ambiente de Control'!$B$24:$K$235,9,0)),"",VLOOKUP(A8,'Ambiente de Control'!$B$24:$K$235,9,0))</f>
        <v>3</v>
      </c>
      <c r="M8" s="176">
        <f t="shared" si="5"/>
        <v>1</v>
      </c>
      <c r="N8" s="176">
        <f t="shared" si="4"/>
        <v>0.58333333333333337</v>
      </c>
      <c r="O8" s="176"/>
      <c r="P8" s="176"/>
    </row>
    <row r="9" spans="1:19" x14ac:dyDescent="0.2">
      <c r="A9" s="176" t="s">
        <v>353</v>
      </c>
      <c r="B9" s="176" t="str">
        <f t="shared" si="2"/>
        <v>2</v>
      </c>
      <c r="C9" s="176" t="str">
        <f>+MID(VLOOKUP(A9,'Ambiente de Control'!$B$21:$C$235,2,0),4,LEN(VLOOKUP(A9,'Ambiente de Control'!$B$21:$C$235,2,0))-4)</f>
        <v xml:space="preserve"> Definición de líneas de reporte en temas clave para la toma de decisiones, atendiendo el Esquema de Líneas de Defens</v>
      </c>
      <c r="D9" s="176" t="s">
        <v>340</v>
      </c>
      <c r="E9" s="176" t="str">
        <f>+VLOOKUP(A9,'Ambiente de Control'!$B$21:$D$235,3,0)</f>
        <v>Dimension Control Interno
Politica de Control Interno
Linea de Defensa
Dimension de Informaciòn y Comunicaciòn</v>
      </c>
      <c r="F9" s="176" t="str">
        <f>+VLOOKUP(A9,'Ambiente de Control'!$B$21:$K$235,10,0)</f>
        <v>Mantenimiento del control</v>
      </c>
      <c r="G9" s="176">
        <f>+VLOOKUP(A9,'Ambiente de Control'!$B$21:$O$235,13,0)</f>
        <v>60.156979999999997</v>
      </c>
      <c r="H9" s="178">
        <f t="shared" si="3"/>
        <v>21</v>
      </c>
      <c r="I9" s="176" t="str">
        <f t="shared" si="0"/>
        <v>Cuando en el análisis de los requerimientos en los diferenes componentes del MECI se cuente con aspectos evaluados en nivel 2 (presente) y 2 (funcionando); 3 (presente) y 1 (funcionando); 3 (presente) y 2 (funcionando).</v>
      </c>
      <c r="J9" s="176" t="s">
        <v>351</v>
      </c>
      <c r="K9" s="176">
        <f>+IF(ISBLANK(VLOOKUP(A9,'Ambiente de Control'!$B$24:$F$235,5,0)),"",VLOOKUP(A9,'Ambiente de Control'!$B$24:$F$235,5,0))</f>
        <v>3</v>
      </c>
      <c r="L9" s="176">
        <f>+IF(ISBLANK(VLOOKUP(A9,'Ambiente de Control'!$B$24:$K$235,9,0)),"",VLOOKUP(A9,'Ambiente de Control'!$B$24:$K$235,9,0))</f>
        <v>3</v>
      </c>
      <c r="M9" s="176">
        <f t="shared" si="5"/>
        <v>1</v>
      </c>
      <c r="N9" s="176">
        <f t="shared" si="4"/>
        <v>0.58333333333333337</v>
      </c>
      <c r="O9" s="176"/>
      <c r="P9" s="176"/>
    </row>
    <row r="10" spans="1:19" x14ac:dyDescent="0.2">
      <c r="A10" s="176" t="s">
        <v>354</v>
      </c>
      <c r="B10" s="176" t="str">
        <f t="shared" si="2"/>
        <v>3</v>
      </c>
      <c r="C10" s="176" t="str">
        <f>+MID(VLOOKUP(A10,'Ambiente de Control'!$B$21:$C$235,2,0),4,LEN(VLOOKUP(A10,'Ambiente de Control'!$B$21:$C$235,2,0))-4)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D10" s="176" t="s">
        <v>340</v>
      </c>
      <c r="E10" s="176" t="str">
        <f>+VLOOKUP(A10,'Ambiente de Control'!$B$21:$D$235,3,0)</f>
        <v>Dimension de Direccionamiento Estrategico y Planeaciòn
Politica de Planeaciòn Institucional 
Dimension Control Interno</v>
      </c>
      <c r="F10" s="176" t="str">
        <f>+VLOOKUP(A10,'Ambiente de Control'!$B$21:$K$235,10,0)</f>
        <v>Deficiencia de control (diseño o ejecución)</v>
      </c>
      <c r="G10" s="176">
        <f>+VLOOKUP(A10,'Ambiente de Control'!$B$21:$O$235,13,0)</f>
        <v>20.289650000000002</v>
      </c>
      <c r="H10" s="178">
        <f t="shared" si="3"/>
        <v>6</v>
      </c>
      <c r="I10" s="176" t="str">
        <f t="shared" si="0"/>
        <v>Cuando en el análisis de los requerimientos en los diferenes componentes del MECI se cuente con aspectos evaluados en nivel 1 (presente) y 1 (funcionando); 2 (presente) y 1 (funcionando).</v>
      </c>
      <c r="J10" s="176" t="s">
        <v>355</v>
      </c>
      <c r="K10" s="176">
        <f>+IF(ISBLANK(VLOOKUP(A10,'Ambiente de Control'!$B$24:$F$235,5,0)),"",VLOOKUP(A10,'Ambiente de Control'!$B$24:$F$235,5,0))</f>
        <v>3</v>
      </c>
      <c r="L10" s="176">
        <f>+IF(ISBLANK(VLOOKUP(A10,'Ambiente de Control'!$B$24:$K$235,9,0)),"",VLOOKUP(A10,'Ambiente de Control'!$B$24:$K$235,9,0))</f>
        <v>2</v>
      </c>
      <c r="M10" s="176">
        <f t="shared" si="5"/>
        <v>0.5</v>
      </c>
      <c r="N10" s="176">
        <f t="shared" si="4"/>
        <v>0.58333333333333337</v>
      </c>
      <c r="O10" s="176"/>
      <c r="P10" s="176"/>
    </row>
    <row r="11" spans="1:19" x14ac:dyDescent="0.2">
      <c r="A11" s="176" t="s">
        <v>356</v>
      </c>
      <c r="B11" s="176" t="str">
        <f t="shared" si="2"/>
        <v>3</v>
      </c>
      <c r="C11" s="176" t="str">
        <f>+MID(VLOOKUP(A11,'Ambiente de Control'!$B$21:$C$235,2,0),4,LEN(VLOOKUP(A11,'Ambiente de Control'!$B$21:$C$235,2,0))-4)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176" t="s">
        <v>340</v>
      </c>
      <c r="E11" s="176" t="str">
        <f>+VLOOKUP(A11,'Ambiente de Control'!$B$21:$D$235,3,0)</f>
        <v>Diimensiòn Evaluacion de Resultados 
Politica de Seguimiento y Evaluaciòn al Desemepeño Institucional
Dimension Control Interno
Lineas de defensa</v>
      </c>
      <c r="F11" s="176" t="str">
        <f>+VLOOKUP(A11,'Ambiente de Control'!$B$21:$K$235,10,0)</f>
        <v>Deficiencia de control (diseño o ejecución)</v>
      </c>
      <c r="G11" s="176">
        <f>+VLOOKUP(A11,'Ambiente de Control'!$B$21:$O$235,13,0)</f>
        <v>20.489650000000001</v>
      </c>
      <c r="H11" s="178">
        <f t="shared" si="3"/>
        <v>7</v>
      </c>
      <c r="I11" s="176" t="str">
        <f t="shared" si="0"/>
        <v>Cuando en el análisis de los requerimientos en los diferenes componentes del MECI se cuente con aspectos evaluados en nivel 1 (presente) y 1 (funcionando); 2 (presente) y 1 (funcionando).</v>
      </c>
      <c r="J11" s="176" t="s">
        <v>355</v>
      </c>
      <c r="K11" s="176">
        <f>+IF(ISBLANK(VLOOKUP(A11,'Ambiente de Control'!$B$24:$F$235,5,0)),"",VLOOKUP(A11,'Ambiente de Control'!$B$24:$F$235,5,0))</f>
        <v>3</v>
      </c>
      <c r="L11" s="176">
        <f>+IF(ISBLANK(VLOOKUP(A11,'Ambiente de Control'!$B$24:$K$235,9,0)),"",VLOOKUP(A11,'Ambiente de Control'!$B$24:$K$235,9,0))</f>
        <v>1</v>
      </c>
      <c r="M11" s="176">
        <f t="shared" si="5"/>
        <v>0.5</v>
      </c>
      <c r="N11" s="176">
        <f t="shared" si="4"/>
        <v>0.58333333333333337</v>
      </c>
      <c r="O11" s="176"/>
      <c r="P11" s="176"/>
    </row>
    <row r="12" spans="1:19" x14ac:dyDescent="0.2">
      <c r="A12" s="176" t="s">
        <v>357</v>
      </c>
      <c r="B12" s="176" t="str">
        <f t="shared" si="2"/>
        <v>3</v>
      </c>
      <c r="C12" s="176" t="str">
        <f>+MID(VLOOKUP(A12,'Ambiente de Control'!$B$21:$C$235,2,0),4,LEN(VLOOKUP(A12,'Ambiente de Control'!$B$21:$C$235,2,0))-4)</f>
        <v xml:space="preserve"> La Alta Dirección frente a la política de Administración del Riesgo definen los niveles de aceptación del riesgo, teniendo en cuenta cada uno de los objetivos establecidos.</v>
      </c>
      <c r="D12" s="176" t="s">
        <v>340</v>
      </c>
      <c r="E12" s="176" t="str">
        <f>+VLOOKUP(A12,'Ambiente de Control'!$B$21:$D$235,3,0)</f>
        <v>Dimension Control Interno
Politica de Control Interno
Linea Estrategica</v>
      </c>
      <c r="F12" s="176" t="str">
        <f>+VLOOKUP(A12,'Ambiente de Control'!$B$21:$K$235,10,0)</f>
        <v>Mantenimiento del control</v>
      </c>
      <c r="G12" s="176">
        <f>+VLOOKUP(A12,'Ambiente de Control'!$B$21:$O$235,13,0)</f>
        <v>60.389653000000003</v>
      </c>
      <c r="H12" s="178">
        <f t="shared" si="3"/>
        <v>22</v>
      </c>
      <c r="I12" s="176" t="str">
        <f t="shared" si="0"/>
        <v>Cuando en el análisis de los requerimientos en los diferenes componentes del MECI se cuente con aspectos evaluados en nivel 2 (presente) y 2 (funcionando); 3 (presente) y 1 (funcionando); 3 (presente) y 2 (funcionando).</v>
      </c>
      <c r="J12" s="176" t="s">
        <v>355</v>
      </c>
      <c r="K12" s="176">
        <f>+IF(ISBLANK(VLOOKUP(A12,'Ambiente de Control'!$B$24:$F$235,5,0)),"",VLOOKUP(A12,'Ambiente de Control'!$B$24:$F$235,5,0))</f>
        <v>3</v>
      </c>
      <c r="L12" s="176">
        <f>+IF(ISBLANK(VLOOKUP(A12,'Ambiente de Control'!$B$24:$K$235,9,0)),"",VLOOKUP(A12,'Ambiente de Control'!$B$24:$K$235,9,0))</f>
        <v>3</v>
      </c>
      <c r="M12" s="176">
        <f t="shared" si="5"/>
        <v>1</v>
      </c>
      <c r="N12" s="176">
        <f t="shared" si="4"/>
        <v>0.58333333333333337</v>
      </c>
      <c r="O12" s="176"/>
      <c r="P12" s="176"/>
    </row>
    <row r="13" spans="1:19" x14ac:dyDescent="0.2">
      <c r="A13" s="176" t="s">
        <v>358</v>
      </c>
      <c r="B13" s="176" t="str">
        <f t="shared" si="2"/>
        <v>4</v>
      </c>
      <c r="C13" s="176" t="str">
        <f>+MID(VLOOKUP(A13,'Ambiente de Control'!$B$21:$C$235,2,0),4,LEN(VLOOKUP(A13,'Ambiente de Control'!$B$21:$C$235,2,0))-4)</f>
        <v xml:space="preserve"> Evaluación de la Planeación Estratégica del Talento Humano</v>
      </c>
      <c r="D13" s="176" t="s">
        <v>340</v>
      </c>
      <c r="E13" s="176" t="str">
        <f>+VLOOKUP(A13,'Ambiente de Control'!$B$21:$D$235,3,0)</f>
        <v>Dimension de Talento Humano
Politica Gestion Estrategica del Talento Humano
Dimension de Control Interno
Lineas de Defensa</v>
      </c>
      <c r="F13" s="176" t="str">
        <f>+VLOOKUP(A13,'Ambiente de Control'!$B$21:$K$235,10,0)</f>
        <v>Mantenimiento del control</v>
      </c>
      <c r="G13" s="176">
        <f>+VLOOKUP(A13,'Ambiente de Control'!$B$21:$O$235,13,0)</f>
        <v>60.589649999999999</v>
      </c>
      <c r="H13" s="178">
        <f t="shared" si="3"/>
        <v>23</v>
      </c>
      <c r="I13" s="176" t="str">
        <f t="shared" si="0"/>
        <v>Cuando en el análisis de los requerimientos en los diferenes componentes del MECI se cuente con aspectos evaluados en nivel 2 (presente) y 2 (funcionando); 3 (presente) y 1 (funcionando); 3 (presente) y 2 (funcionando).</v>
      </c>
      <c r="J13" s="176" t="s">
        <v>359</v>
      </c>
      <c r="K13" s="176">
        <f>+IF(ISBLANK(VLOOKUP(A13,'Ambiente de Control'!$B$24:$F$235,5,0)),"",VLOOKUP(A13,'Ambiente de Control'!$B$24:$F$235,5,0))</f>
        <v>3</v>
      </c>
      <c r="L13" s="176">
        <f>+IF(ISBLANK(VLOOKUP(A13,'Ambiente de Control'!$B$24:$K$235,9,0)),"",VLOOKUP(A13,'Ambiente de Control'!$B$24:$K$235,9,0))</f>
        <v>3</v>
      </c>
      <c r="M13" s="176">
        <f t="shared" si="5"/>
        <v>1</v>
      </c>
      <c r="N13" s="176">
        <f t="shared" si="4"/>
        <v>0.58333333333333337</v>
      </c>
      <c r="O13" s="176"/>
      <c r="P13" s="176"/>
    </row>
    <row r="14" spans="1:19" x14ac:dyDescent="0.2">
      <c r="A14" s="176" t="s">
        <v>360</v>
      </c>
      <c r="B14" s="176" t="str">
        <f t="shared" si="2"/>
        <v>4</v>
      </c>
      <c r="C14" s="176" t="str">
        <f>+MID(VLOOKUP(A14,'Ambiente de Control'!$B$21:$C$235,2,0),4,LEN(VLOOKUP(A14,'Ambiente de Control'!$B$21:$C$235,2,0))-4)</f>
        <v xml:space="preserve"> Evaluación de las actividades relacionadas con el Ingreso del personal</v>
      </c>
      <c r="D14" s="176" t="s">
        <v>340</v>
      </c>
      <c r="E14" s="176" t="str">
        <f>+VLOOKUP(A14,'Ambiente de Control'!$B$21:$D$235,3,0)</f>
        <v>Dimension de Talento Humano
Politica Gestion Estrategica del Talento Humano
Dimension de Control Interno
Lineas de Defensa</v>
      </c>
      <c r="F14" s="176" t="str">
        <f>+VLOOKUP(A14,'Ambiente de Control'!$B$21:$K$235,10,0)</f>
        <v>Deficiencia de control (diseño o ejecución)</v>
      </c>
      <c r="G14" s="176">
        <f>+VLOOKUP(A14,'Ambiente de Control'!$B$21:$O$235,13,0)</f>
        <v>20.68965</v>
      </c>
      <c r="H14" s="178">
        <f t="shared" si="3"/>
        <v>8</v>
      </c>
      <c r="I14" s="176" t="str">
        <f t="shared" si="0"/>
        <v>Cuando en el análisis de los requerimientos en los diferenes componentes del MECI se cuente con aspectos evaluados en nivel 1 (presente) y 1 (funcionando); 2 (presente) y 1 (funcionando).</v>
      </c>
      <c r="J14" s="176" t="s">
        <v>359</v>
      </c>
      <c r="K14" s="176">
        <f>+IF(ISBLANK(VLOOKUP(A14,'Ambiente de Control'!$B$24:$F$235,5,0)),"",VLOOKUP(A14,'Ambiente de Control'!$B$24:$F$235,5,0))</f>
        <v>2</v>
      </c>
      <c r="L14" s="176">
        <f>+IF(ISBLANK(VLOOKUP(A14,'Ambiente de Control'!$B$24:$K$235,9,0)),"",VLOOKUP(A14,'Ambiente de Control'!$B$24:$K$235,9,0))</f>
        <v>2</v>
      </c>
      <c r="M14" s="176">
        <f t="shared" si="5"/>
        <v>0.5</v>
      </c>
      <c r="N14" s="176">
        <f t="shared" si="4"/>
        <v>0.58333333333333337</v>
      </c>
      <c r="O14" s="176"/>
      <c r="P14" s="176"/>
    </row>
    <row r="15" spans="1:19" x14ac:dyDescent="0.2">
      <c r="A15" s="176" t="s">
        <v>361</v>
      </c>
      <c r="B15" s="176" t="str">
        <f t="shared" si="2"/>
        <v>4</v>
      </c>
      <c r="C15" s="176" t="str">
        <f>+MID(VLOOKUP(A15,'Ambiente de Control'!$B$21:$C$235,2,0),4,LEN(VLOOKUP(A15,'Ambiente de Control'!$B$21:$C$235,2,0))-4)</f>
        <v xml:space="preserve"> Evaluación de las actividades relacionadas con la permanencia del personal</v>
      </c>
      <c r="D15" s="176" t="s">
        <v>340</v>
      </c>
      <c r="E15" s="176" t="str">
        <f>+VLOOKUP(A15,'Ambiente de Control'!$B$21:$D$235,3,0)</f>
        <v>Dimension de Talento Humano
Politica Gestion Estrategica del Talento Humano
Dimension de Control Interno
Lineas de Defensa</v>
      </c>
      <c r="F15" s="176" t="str">
        <f>+VLOOKUP(A15,'Ambiente de Control'!$B$21:$K$235,10,0)</f>
        <v>Deficiencia de control (diseño o ejecución)</v>
      </c>
      <c r="G15" s="176">
        <f>+VLOOKUP(A15,'Ambiente de Control'!$B$21:$O$235,13,0)</f>
        <v>20.789650000000002</v>
      </c>
      <c r="H15" s="178">
        <f t="shared" si="3"/>
        <v>9</v>
      </c>
      <c r="I15" s="176" t="str">
        <f t="shared" si="0"/>
        <v>Cuando en el análisis de los requerimientos en los diferenes componentes del MECI se cuente con aspectos evaluados en nivel 1 (presente) y 1 (funcionando); 2 (presente) y 1 (funcionando).</v>
      </c>
      <c r="J15" s="176" t="s">
        <v>359</v>
      </c>
      <c r="K15" s="176">
        <f>+IF(ISBLANK(VLOOKUP(A15,'Ambiente de Control'!$B$24:$F$235,5,0)),"",VLOOKUP(A15,'Ambiente de Control'!$B$24:$F$235,5,0))</f>
        <v>3</v>
      </c>
      <c r="L15" s="176">
        <f>+IF(ISBLANK(VLOOKUP(A15,'Ambiente de Control'!$B$24:$K$235,9,0)),"",VLOOKUP(A15,'Ambiente de Control'!$B$24:$K$235,9,0))</f>
        <v>2</v>
      </c>
      <c r="M15" s="176">
        <f t="shared" si="5"/>
        <v>0.5</v>
      </c>
      <c r="N15" s="176">
        <f t="shared" si="4"/>
        <v>0.58333333333333337</v>
      </c>
      <c r="O15" s="176"/>
      <c r="P15" s="176"/>
    </row>
    <row r="16" spans="1:19" x14ac:dyDescent="0.2">
      <c r="A16" s="176" t="s">
        <v>362</v>
      </c>
      <c r="B16" s="176" t="str">
        <f t="shared" si="2"/>
        <v>4</v>
      </c>
      <c r="C16" s="176" t="str">
        <f>+MID(VLOOKUP(A16,'Ambiente de Control'!$B$21:$C$235,2,0),4,LEN(VLOOKUP(A16,'Ambiente de Control'!$B$21:$C$235,2,0))-4)</f>
        <v>Analizar si se cuenta con políticas claras y comunicadas relacionadas con la responsabilidad de cada servidor sobre el desarrollo y mantenimiento del control interno (1a línea de defensa</v>
      </c>
      <c r="D16" s="176" t="s">
        <v>340</v>
      </c>
      <c r="E16" s="176" t="str">
        <f>+VLOOKUP(A16,'Ambiente de Control'!$B$21:$D$235,3,0)</f>
        <v>Dimension de Talento Humano
Politica Gestion Estrategica del Talento Humano
Dimension de Control Interno
Lineas de Defensa</v>
      </c>
      <c r="F16" s="176" t="str">
        <f>+VLOOKUP(A16,'Ambiente de Control'!$B$21:$K$235,10,0)</f>
        <v>Deficiencia de control (diseño o ejecución)</v>
      </c>
      <c r="G16" s="176">
        <f>+VLOOKUP(A16,'Ambiente de Control'!$B$21:$O$235,13,0)</f>
        <v>20.88965</v>
      </c>
      <c r="H16" s="178">
        <f t="shared" si="3"/>
        <v>10</v>
      </c>
      <c r="I16" s="176" t="str">
        <f t="shared" si="0"/>
        <v>Cuando en el análisis de los requerimientos en los diferenes componentes del MECI se cuente con aspectos evaluados en nivel 1 (presente) y 1 (funcionando); 2 (presente) y 1 (funcionando).</v>
      </c>
      <c r="J16" s="176" t="s">
        <v>359</v>
      </c>
      <c r="K16" s="176">
        <f>+IF(ISBLANK(VLOOKUP(A16,'Ambiente de Control'!$B$24:$F$235,5,0)),"",VLOOKUP(A16,'Ambiente de Control'!$B$24:$F$235,5,0))</f>
        <v>3</v>
      </c>
      <c r="L16" s="176">
        <f>+IF(ISBLANK(VLOOKUP(A16,'Ambiente de Control'!$B$24:$K$235,9,0)),"",VLOOKUP(A16,'Ambiente de Control'!$B$24:$K$235,9,0))</f>
        <v>2</v>
      </c>
      <c r="M16" s="176">
        <f t="shared" si="5"/>
        <v>0.5</v>
      </c>
      <c r="N16" s="176">
        <f t="shared" si="4"/>
        <v>0.58333333333333337</v>
      </c>
      <c r="O16" s="176"/>
      <c r="P16" s="176"/>
    </row>
    <row r="17" spans="1:16" x14ac:dyDescent="0.2">
      <c r="A17" s="176" t="s">
        <v>363</v>
      </c>
      <c r="B17" s="176" t="str">
        <f t="shared" si="2"/>
        <v>4</v>
      </c>
      <c r="C17" s="176" t="str">
        <f>+MID(VLOOKUP(A17,'Ambiente de Control'!$B$21:$C$235,2,0),4,LEN(VLOOKUP(A17,'Ambiente de Control'!$B$21:$C$235,2,0))-4)</f>
        <v xml:space="preserve"> Evaluación de las actividades relacionadas con el retiro del personal</v>
      </c>
      <c r="D17" s="176" t="s">
        <v>340</v>
      </c>
      <c r="E17" s="176" t="str">
        <f>+VLOOKUP(A17,'Ambiente de Control'!$B$21:$D$235,3,0)</f>
        <v>Dimension de Talento Humano
Politica Gestion Estrategica del Talento Humano
Dimension de Control Interno
Lineas de Defensa</v>
      </c>
      <c r="F17" s="176" t="str">
        <f>+VLOOKUP(A17,'Ambiente de Control'!$B$21:$K$235,10,0)</f>
        <v>Deficiencia de control (diseño o ejecución)</v>
      </c>
      <c r="G17" s="176">
        <f>+VLOOKUP(A17,'Ambiente de Control'!$B$21:$O$235,13,0)</f>
        <v>20.989650000000001</v>
      </c>
      <c r="H17" s="178">
        <f t="shared" si="3"/>
        <v>11</v>
      </c>
      <c r="I17" s="176" t="str">
        <f t="shared" si="0"/>
        <v>Cuando en el análisis de los requerimientos en los diferenes componentes del MECI se cuente con aspectos evaluados en nivel 1 (presente) y 1 (funcionando); 2 (presente) y 1 (funcionando).</v>
      </c>
      <c r="J17" s="176" t="s">
        <v>359</v>
      </c>
      <c r="K17" s="176">
        <f>+IF(ISBLANK(VLOOKUP(A17,'Ambiente de Control'!$B$24:$F$235,5,0)),"",VLOOKUP(A17,'Ambiente de Control'!$B$24:$F$235,5,0))</f>
        <v>2</v>
      </c>
      <c r="L17" s="176">
        <f>+IF(ISBLANK(VLOOKUP(A17,'Ambiente de Control'!$B$24:$K$235,9,0)),"",VLOOKUP(A17,'Ambiente de Control'!$B$24:$K$235,9,0))</f>
        <v>2</v>
      </c>
      <c r="M17" s="176">
        <f t="shared" si="5"/>
        <v>0.5</v>
      </c>
      <c r="N17" s="176">
        <f t="shared" si="4"/>
        <v>0.58333333333333337</v>
      </c>
      <c r="O17" s="176"/>
      <c r="P17" s="176"/>
    </row>
    <row r="18" spans="1:16" x14ac:dyDescent="0.2">
      <c r="A18" s="176" t="s">
        <v>364</v>
      </c>
      <c r="B18" s="176" t="str">
        <f t="shared" si="2"/>
        <v>4</v>
      </c>
      <c r="C18" s="176" t="str">
        <f>+MID(VLOOKUP(A18,'Ambiente de Control'!$B$21:$C$235,2,0),4,LEN(VLOOKUP(A18,'Ambiente de Control'!$B$21:$C$235,2,0))-4)</f>
        <v xml:space="preserve"> Evaluar el impacto del Plan Institucional de Capacitación - PI</v>
      </c>
      <c r="D18" s="176" t="s">
        <v>340</v>
      </c>
      <c r="E18" s="176" t="str">
        <f>+VLOOKUP(A18,'Ambiente de Control'!$B$21:$D$235,3,0)</f>
        <v>Dimension de Talento Humano
Politica Gestion Estrategica del Talento Humano
Dimension de Control Interno
Lineas de Defensa</v>
      </c>
      <c r="F18" s="176" t="str">
        <f>+VLOOKUP(A18,'Ambiente de Control'!$B$21:$K$235,10,0)</f>
        <v>Deficiencia de control (diseño o ejecución)</v>
      </c>
      <c r="G18" s="176">
        <f>+VLOOKUP(A18,'Ambiente de Control'!$B$21:$O$235,13,0)</f>
        <v>20.989652</v>
      </c>
      <c r="H18" s="178">
        <f t="shared" si="3"/>
        <v>12</v>
      </c>
      <c r="I18" s="176" t="str">
        <f t="shared" si="0"/>
        <v>Cuando en el análisis de los requerimientos en los diferenes componentes del MECI se cuente con aspectos evaluados en nivel 1 (presente) y 1 (funcionando); 2 (presente) y 1 (funcionando).</v>
      </c>
      <c r="J18" s="176" t="s">
        <v>359</v>
      </c>
      <c r="K18" s="176">
        <f>+IF(ISBLANK(VLOOKUP(A18,'Ambiente de Control'!$B$24:$F$235,5,0)),"",VLOOKUP(A18,'Ambiente de Control'!$B$24:$F$235,5,0))</f>
        <v>2</v>
      </c>
      <c r="L18" s="176">
        <f>+IF(ISBLANK(VLOOKUP(A18,'Ambiente de Control'!$B$24:$K$235,9,0)),"",VLOOKUP(A18,'Ambiente de Control'!$B$24:$K$235,9,0))</f>
        <v>2</v>
      </c>
      <c r="M18" s="176">
        <f t="shared" si="5"/>
        <v>0.5</v>
      </c>
      <c r="N18" s="176">
        <f t="shared" si="4"/>
        <v>0.58333333333333337</v>
      </c>
      <c r="O18" s="176"/>
      <c r="P18" s="176"/>
    </row>
    <row r="19" spans="1:16" x14ac:dyDescent="0.2">
      <c r="A19" s="176" t="s">
        <v>365</v>
      </c>
      <c r="B19" s="176" t="str">
        <f t="shared" si="2"/>
        <v>4</v>
      </c>
      <c r="C19" s="176" t="str">
        <f>+MID(VLOOKUP(A19,'Ambiente de Control'!$B$21:$C$235,2,0),4,LEN(VLOOKUP(A19,'Ambiente de Control'!$B$21:$C$235,2,0))-4)</f>
        <v xml:space="preserve"> Evaluación frente a los productos y servicios en los cuales participan los contratistas de apoyo</v>
      </c>
      <c r="D19" s="176" t="s">
        <v>340</v>
      </c>
      <c r="E19" s="176" t="str">
        <f>+VLOOKUP(A19,'Ambiente de Control'!$B$21:$D$235,3,0)</f>
        <v>Dimension de Talento Humano
Politica Gestion Estrategica del Talento Humano
Dimension de Control Interno
Lineas de Defensa</v>
      </c>
      <c r="F19" s="176" t="str">
        <f>+VLOOKUP(A19,'Ambiente de Control'!$B$21:$K$235,10,0)</f>
        <v>Deficiencia de control mayor (diseño y ejecución)</v>
      </c>
      <c r="G19" s="176">
        <f>+VLOOKUP(A19,'Ambiente de Control'!$B$21:$O$235,13,0)</f>
        <v>5.8962300000000001</v>
      </c>
      <c r="H19" s="178">
        <f t="shared" ref="H19" si="6">+_xlfn.RANK.EQ(G19,$G$2:$G$82,1)</f>
        <v>3</v>
      </c>
      <c r="I19" s="176" t="str">
        <f t="shared" si="0"/>
        <v>Cuando en el análisis de los requerimientos en los diferenes componentes del MECI se cuente con aspectos evaluados en nivel 2 (presente) y 3 (funcionando).</v>
      </c>
      <c r="J19" s="176" t="s">
        <v>359</v>
      </c>
      <c r="K19" s="176">
        <f>+IF(ISBLANK(VLOOKUP(A19,'Ambiente de Control'!$B$24:$F$235,5,0)),"",VLOOKUP(A19,'Ambiente de Control'!$B$24:$F$235,5,0))</f>
        <v>1</v>
      </c>
      <c r="L19" s="176">
        <f>+IF(ISBLANK(VLOOKUP(A19,'Ambiente de Control'!$B$24:$K$235,9,0)),"",VLOOKUP(A19,'Ambiente de Control'!$B$24:$K$235,9,0))</f>
        <v>1</v>
      </c>
      <c r="M19" s="176">
        <f t="shared" si="5"/>
        <v>0</v>
      </c>
      <c r="N19" s="176">
        <f t="shared" ref="N19" si="7">+AVERAGEIF($D$2:$D$82,D19,$M$2:$M$82)</f>
        <v>0.58333333333333337</v>
      </c>
      <c r="O19" s="176"/>
      <c r="P19" s="176"/>
    </row>
    <row r="20" spans="1:16" x14ac:dyDescent="0.2">
      <c r="A20" s="176" t="s">
        <v>366</v>
      </c>
      <c r="B20" s="176" t="str">
        <f t="shared" si="2"/>
        <v>5</v>
      </c>
      <c r="C20" s="176" t="str">
        <f>+MID(VLOOKUP(A20,'Ambiente de Control'!$B$21:$C$235,2,0),4,LEN(VLOOKUP(A20,'Ambiente de Control'!$B$21:$C$235,2,0))-4)</f>
        <v xml:space="preserve"> Acorde con la estructura del Esquema de Líneas de Defensa se han definido estándares de reporte, periodicidad y responsables frente a diferentes temas críticos de la entidad</v>
      </c>
      <c r="D20" s="176" t="s">
        <v>340</v>
      </c>
      <c r="E20" s="176" t="str">
        <f>+VLOOKUP(A20,'Ambiente de Control'!$B$21:$D$235,3,0)</f>
        <v>Dimension de Informaciòn y Comunicaciòn
Dimensiòn de Control Interno
Lineas de Defensa</v>
      </c>
      <c r="F20" s="176" t="str">
        <f>+VLOOKUP(A20,'Ambiente de Control'!$B$21:$K$235,10,0)</f>
        <v>Deficiencia de control (diseño o ejecución)</v>
      </c>
      <c r="G20" s="176">
        <f>+VLOOKUP(A20,'Ambiente de Control'!$B$21:$O$235,13,0)</f>
        <v>21.189599999999999</v>
      </c>
      <c r="H20" s="178">
        <f t="shared" si="3"/>
        <v>13</v>
      </c>
      <c r="I20" s="176" t="str">
        <f t="shared" si="0"/>
        <v>Cuando en el análisis de los requerimientos en los diferenes componentes del MECI se cuente con aspectos evaluados en nivel 1 (presente) y 1 (funcionando); 2 (presente) y 1 (funcionando).</v>
      </c>
      <c r="J20" s="176" t="s">
        <v>367</v>
      </c>
      <c r="K20" s="176">
        <f>+IF(ISBLANK(VLOOKUP(A20,'Ambiente de Control'!$B$24:$F$235,5,0)),"",VLOOKUP(A20,'Ambiente de Control'!$B$24:$F$235,5,0))</f>
        <v>3</v>
      </c>
      <c r="L20" s="176">
        <f>+IF(ISBLANK(VLOOKUP(A20,'Ambiente de Control'!$B$24:$K$235,9,0)),"",VLOOKUP(A20,'Ambiente de Control'!$B$24:$K$235,9,0))</f>
        <v>2</v>
      </c>
      <c r="M20" s="176">
        <f t="shared" si="5"/>
        <v>0.5</v>
      </c>
      <c r="N20" s="176">
        <f t="shared" si="4"/>
        <v>0.58333333333333337</v>
      </c>
      <c r="O20" s="176"/>
      <c r="P20" s="176"/>
    </row>
    <row r="21" spans="1:16" x14ac:dyDescent="0.2">
      <c r="A21" s="176" t="s">
        <v>368</v>
      </c>
      <c r="B21" s="176" t="str">
        <f t="shared" si="2"/>
        <v>5</v>
      </c>
      <c r="C21" s="176" t="str">
        <f>+MID(VLOOKUP(A21,'Ambiente de Control'!$B$21:$C$235,2,0),4,LEN(VLOOKUP(A21,'Ambiente de Control'!$B$21:$C$235,2,0))-4)</f>
        <v xml:space="preserve"> La Alta Dirección analiza la información asociada con la generación de reportes financieros</v>
      </c>
      <c r="D21" s="176" t="s">
        <v>340</v>
      </c>
      <c r="E21" s="176" t="str">
        <f>+VLOOKUP(A21,'Ambiente de Control'!$B$21:$D$235,3,0)</f>
        <v xml:space="preserve">
Dimensiòn de Control Interno
Linea de Estrategica</v>
      </c>
      <c r="F21" s="176" t="str">
        <f>+VLOOKUP(A21,'Ambiente de Control'!$B$21:$K$235,10,0)</f>
        <v>Deficiencia de control (diseño o ejecución)</v>
      </c>
      <c r="G21" s="176">
        <f>+VLOOKUP(A21,'Ambiente de Control'!$B$21:$O$235,13,0)</f>
        <v>21.289650000000002</v>
      </c>
      <c r="H21" s="178">
        <f t="shared" si="3"/>
        <v>14</v>
      </c>
      <c r="I21" s="176" t="str">
        <f t="shared" si="0"/>
        <v>Cuando en el análisis de los requerimientos en los diferenes componentes del MECI se cuente con aspectos evaluados en nivel 1 (presente) y 1 (funcionando); 2 (presente) y 1 (funcionando).</v>
      </c>
      <c r="J21" s="176" t="s">
        <v>367</v>
      </c>
      <c r="K21" s="176">
        <f>+IF(ISBLANK(VLOOKUP(A21,'Ambiente de Control'!$B$24:$F$235,5,0)),"",VLOOKUP(A21,'Ambiente de Control'!$B$24:$F$235,5,0))</f>
        <v>3</v>
      </c>
      <c r="L21" s="176">
        <f>+IF(ISBLANK(VLOOKUP(A21,'Ambiente de Control'!$B$24:$K$235,9,0)),"",VLOOKUP(A21,'Ambiente de Control'!$B$24:$K$235,9,0))</f>
        <v>2</v>
      </c>
      <c r="M21" s="176">
        <f t="shared" si="5"/>
        <v>0.5</v>
      </c>
      <c r="N21" s="176">
        <f t="shared" si="4"/>
        <v>0.58333333333333337</v>
      </c>
      <c r="O21" s="176"/>
      <c r="P21" s="176"/>
    </row>
    <row r="22" spans="1:16" x14ac:dyDescent="0.2">
      <c r="A22" s="176" t="s">
        <v>369</v>
      </c>
      <c r="B22" s="176" t="str">
        <f t="shared" si="2"/>
        <v>5</v>
      </c>
      <c r="C22" s="176" t="str">
        <f>+MID(VLOOKUP(A22,'Ambiente de Control'!$B$21:$C$235,2,0),4,LEN(VLOOKUP(A22,'Ambiente de Control'!$B$21:$C$235,2,0))-4)</f>
        <v xml:space="preserve"> Teniendo en cuenta la información suministrada por la 2a y 3a línea de defensa se toman decisiones a tiempo para garantizar el cumplimiento de las metas y objetivos</v>
      </c>
      <c r="D22" s="176" t="s">
        <v>340</v>
      </c>
      <c r="E22" s="176" t="str">
        <f>+VLOOKUP(A22,'Ambiente de Control'!$B$21:$D$235,3,0)</f>
        <v>Dimensiòn de Control Interno
Lineas de Defensa</v>
      </c>
      <c r="F22" s="176" t="str">
        <f>+VLOOKUP(A22,'Ambiente de Control'!$B$21:$K$235,10,0)</f>
        <v>Deficiencia de control (diseño o ejecución)</v>
      </c>
      <c r="G22" s="176">
        <f>+VLOOKUP(A22,'Ambiente de Control'!$B$21:$O$235,13,0)</f>
        <v>21.38963</v>
      </c>
      <c r="H22" s="178">
        <f t="shared" si="3"/>
        <v>15</v>
      </c>
      <c r="I22" s="176" t="str">
        <f t="shared" si="0"/>
        <v>Cuando en el análisis de los requerimientos en los diferenes componentes del MECI se cuente con aspectos evaluados en nivel 1 (presente) y 1 (funcionando); 2 (presente) y 1 (funcionando).</v>
      </c>
      <c r="J22" s="176" t="s">
        <v>367</v>
      </c>
      <c r="K22" s="176">
        <f>+IF(ISBLANK(VLOOKUP(A22,'Ambiente de Control'!$B$24:$F$235,5,0)),"",VLOOKUP(A22,'Ambiente de Control'!$B$24:$F$235,5,0))</f>
        <v>3</v>
      </c>
      <c r="L22" s="176">
        <f>+IF(ISBLANK(VLOOKUP(A22,'Ambiente de Control'!$B$24:$K$235,9,0)),"",VLOOKUP(A22,'Ambiente de Control'!$B$24:$K$235,9,0))</f>
        <v>2</v>
      </c>
      <c r="M22" s="176">
        <f t="shared" si="5"/>
        <v>0.5</v>
      </c>
      <c r="N22" s="176">
        <f t="shared" si="4"/>
        <v>0.58333333333333337</v>
      </c>
      <c r="O22" s="176"/>
      <c r="P22" s="176"/>
    </row>
    <row r="23" spans="1:16" x14ac:dyDescent="0.2">
      <c r="A23" s="176" t="s">
        <v>370</v>
      </c>
      <c r="B23" s="176" t="str">
        <f t="shared" si="2"/>
        <v>5</v>
      </c>
      <c r="C23" s="176" t="str">
        <f>+MID(VLOOKUP(A23,'Ambiente de Control'!$B$21:$C$235,2,0),4,LEN(VLOOKUP(A23,'Ambiente de Control'!$B$21:$C$235,2,0))-4)</f>
        <v xml:space="preserve"> Se evalúa la estructura de control a partir de los cambios en procesos, procedimientos, u otras herramientas, a fin de garantizar su adecuada formulación y afectación frente a la gestión del riesgo</v>
      </c>
      <c r="D23" s="176" t="s">
        <v>340</v>
      </c>
      <c r="E23" s="176" t="str">
        <f>+VLOOKUP(A23,'Ambiente de Control'!$B$21:$D$235,3,0)</f>
        <v>Dimension de Gestion con Valores para Resultado
Politica de Fortalecimiento Organizacional y Simplificaciòn de Procesos
Dimension Control Interno
Lineas de Defensa</v>
      </c>
      <c r="F23" s="176" t="str">
        <f>+VLOOKUP(A23,'Ambiente de Control'!$B$21:$K$235,10,0)</f>
        <v>Deficiencia de control (diseño o ejecución)</v>
      </c>
      <c r="G23" s="176">
        <f>+VLOOKUP(A23,'Ambiente de Control'!$B$21:$O$235,13,0)</f>
        <v>21.489629999999998</v>
      </c>
      <c r="H23" s="178">
        <f t="shared" si="3"/>
        <v>16</v>
      </c>
      <c r="I23" s="176" t="str">
        <f t="shared" si="0"/>
        <v>Cuando en el análisis de los requerimientos en los diferenes componentes del MECI se cuente con aspectos evaluados en nivel 1 (presente) y 1 (funcionando); 2 (presente) y 1 (funcionando).</v>
      </c>
      <c r="J23" s="176" t="s">
        <v>367</v>
      </c>
      <c r="K23" s="176">
        <f>+IF(ISBLANK(VLOOKUP(A23,'Ambiente de Control'!$B$24:$F$235,5,0)),"",VLOOKUP(A23,'Ambiente de Control'!$B$24:$F$235,5,0))</f>
        <v>3</v>
      </c>
      <c r="L23" s="176">
        <f>+IF(ISBLANK(VLOOKUP(A23,'Ambiente de Control'!$B$24:$K$235,9,0)),"",VLOOKUP(A23,'Ambiente de Control'!$B$24:$K$235,9,0))</f>
        <v>2</v>
      </c>
      <c r="M23" s="176">
        <f t="shared" si="5"/>
        <v>0.5</v>
      </c>
      <c r="N23" s="176">
        <f t="shared" si="4"/>
        <v>0.58333333333333337</v>
      </c>
      <c r="O23" s="176"/>
      <c r="P23" s="176"/>
    </row>
    <row r="24" spans="1:16" x14ac:dyDescent="0.2">
      <c r="A24" s="176" t="s">
        <v>371</v>
      </c>
      <c r="B24" s="176" t="str">
        <f t="shared" si="2"/>
        <v>5</v>
      </c>
      <c r="C24" s="176" t="str">
        <f>+MID(VLOOKUP(A24,'Ambiente de Control'!$B$21:$C$235,2,0),4,LEN(VLOOKUP(A24,'Ambiente de Control'!$B$21:$C$235,2,0))-4)</f>
        <v xml:space="preserve"> La entidad aprueba y hace seguimiento al Plan Anual de Auditoría presentado y ejecutado por parte de la Oficina de Control Interno</v>
      </c>
      <c r="D24" s="176" t="s">
        <v>340</v>
      </c>
      <c r="E24" s="176" t="str">
        <f>+VLOOKUP(A24,'Ambiente de Control'!$B$21:$D$235,3,0)</f>
        <v>Dimension Control Interno
Linea Estrategica</v>
      </c>
      <c r="F24" s="176" t="str">
        <f>+VLOOKUP(A24,'Ambiente de Control'!$B$21:$K$235,10,0)</f>
        <v>Mantenimiento del control</v>
      </c>
      <c r="G24" s="176">
        <f>+VLOOKUP(A24,'Ambiente de Control'!$B$21:$O$235,13,0)</f>
        <v>61.589649999999999</v>
      </c>
      <c r="H24" s="178">
        <f t="shared" si="3"/>
        <v>24</v>
      </c>
      <c r="I24" s="176" t="str">
        <f t="shared" si="0"/>
        <v>Cuando en el análisis de los requerimientos en los diferenes componentes del MECI se cuente con aspectos evaluados en nivel 2 (presente) y 2 (funcionando); 3 (presente) y 1 (funcionando); 3 (presente) y 2 (funcionando).</v>
      </c>
      <c r="J24" s="176" t="s">
        <v>367</v>
      </c>
      <c r="K24" s="176">
        <f>+IF(ISBLANK(VLOOKUP(A24,'Ambiente de Control'!$B$24:$F$235,5,0)),"",VLOOKUP(A24,'Ambiente de Control'!$B$24:$F$235,5,0))</f>
        <v>3</v>
      </c>
      <c r="L24" s="176">
        <f>+IF(ISBLANK(VLOOKUP(A24,'Ambiente de Control'!$B$24:$K$235,9,0)),"",VLOOKUP(A24,'Ambiente de Control'!$B$24:$K$235,9,0))</f>
        <v>3</v>
      </c>
      <c r="M24" s="176">
        <f t="shared" si="5"/>
        <v>1</v>
      </c>
      <c r="N24" s="176">
        <f t="shared" si="4"/>
        <v>0.58333333333333337</v>
      </c>
      <c r="O24" s="176"/>
      <c r="P24" s="176"/>
    </row>
    <row r="25" spans="1:16" x14ac:dyDescent="0.2">
      <c r="A25" s="176" t="s">
        <v>372</v>
      </c>
      <c r="B25" s="176" t="str">
        <f t="shared" si="2"/>
        <v>5</v>
      </c>
      <c r="C25" s="176" t="str">
        <f>+MID(VLOOKUP(A25,'Ambiente de Control'!$B$21:$C$235,2,0),4,LEN(VLOOKUP(A25,'Ambiente de Control'!$B$21:$C$235,2,0))-4)</f>
        <v xml:space="preserve"> La entidad analiza los informes presentados por la Oficina de Control Interno y evalúa su impacto en relación con la mejora institucional</v>
      </c>
      <c r="D25" s="176" t="s">
        <v>340</v>
      </c>
      <c r="E25" s="176" t="str">
        <f>+VLOOKUP(A25,'Ambiente de Control'!$B$21:$D$235,3,0)</f>
        <v>Dimension Control Interno
Linea Estrategica</v>
      </c>
      <c r="F25" s="176" t="str">
        <f>+VLOOKUP(A25,'Ambiente de Control'!$B$21:$K$235,10,0)</f>
        <v>Deficiencia de control (diseño o ejecución)</v>
      </c>
      <c r="G25" s="176">
        <f>+VLOOKUP(A25,'Ambiente de Control'!$B$21:$O$235,13,0)</f>
        <v>21.689653</v>
      </c>
      <c r="H25" s="178">
        <f t="shared" si="3"/>
        <v>17</v>
      </c>
      <c r="I25" s="176" t="str">
        <f t="shared" si="0"/>
        <v>Cuando en el análisis de los requerimientos en los diferenes componentes del MECI se cuente con aspectos evaluados en nivel 1 (presente) y 1 (funcionando); 2 (presente) y 1 (funcionando).</v>
      </c>
      <c r="J25" s="176" t="s">
        <v>367</v>
      </c>
      <c r="K25" s="176">
        <f>+IF(ISBLANK(VLOOKUP(A25,'Ambiente de Control'!$B$24:$F$235,5,0)),"",VLOOKUP(A25,'Ambiente de Control'!$B$24:$F$235,5,0))</f>
        <v>3</v>
      </c>
      <c r="L25" s="176">
        <f>+IF(ISBLANK(VLOOKUP(A25,'Ambiente de Control'!$B$24:$K$235,9,0)),"",VLOOKUP(A25,'Ambiente de Control'!$B$24:$K$235,9,0))</f>
        <v>2</v>
      </c>
      <c r="M25" s="176">
        <f t="shared" si="5"/>
        <v>0.5</v>
      </c>
      <c r="N25" s="176">
        <f t="shared" si="4"/>
        <v>0.58333333333333337</v>
      </c>
      <c r="O25" s="176"/>
      <c r="P25" s="176"/>
    </row>
    <row r="26" spans="1:16" x14ac:dyDescent="0.2">
      <c r="A26" s="176" t="s">
        <v>373</v>
      </c>
      <c r="B26" s="176" t="str">
        <f t="shared" si="2"/>
        <v>6</v>
      </c>
      <c r="C26" s="176" t="str">
        <f>+MID(VLOOKUP(A26,'Evaluación de riesgos'!$B$13:$C$160,2,0),4,LEN(VLOOKUP(A26,'Evaluación de riesgos'!$B$13:$C$160,2,0))-4)</f>
        <v xml:space="preserve">  La Entidad cuenta con mecanismos para vincular o relacionar el plan estratégico con los objetivos estratégicos y estos a su vez con los objetivos operativos</v>
      </c>
      <c r="D26" s="176" t="s">
        <v>326</v>
      </c>
      <c r="E26" s="176" t="str">
        <f>+VLOOKUP(A26,'Evaluación de riesgos'!$B$13:$K$160,3,0)</f>
        <v>Dimension de Direccionamiento Estratetegico y Planeacion.
Politica de Planeacion Institucional</v>
      </c>
      <c r="F26" s="176" t="str">
        <f>+VLOOKUP(A26,'Evaluación de riesgos'!$B$13:$K$160,10,0)</f>
        <v>Deficiencia de control (diseño o ejecución)</v>
      </c>
      <c r="G26" s="176">
        <f>+VLOOKUP(A26,'Evaluación de riesgos'!$B$13:$O$160,13,0)</f>
        <v>101.78960000000001</v>
      </c>
      <c r="H26" s="178">
        <f t="shared" si="3"/>
        <v>29</v>
      </c>
      <c r="I26" s="176" t="str">
        <f t="shared" si="0"/>
        <v>Cuando en el análisis de los requerimientos en los diferenes componentes del MECI se cuente con aspectos evaluados en nivel 1 (presente) y 1 (funcionando); 2 (presente) y 1 (funcionando).</v>
      </c>
      <c r="J26" s="176" t="s">
        <v>374</v>
      </c>
      <c r="K26" s="176">
        <f>+IF(ISBLANK(VLOOKUP(A26,'Evaluación de riesgos'!$B$16:$F$160,5,0)),"",VLOOKUP(A26,'Evaluación de riesgos'!$B$16:$F$160,5,0))</f>
        <v>2</v>
      </c>
      <c r="L26" s="176">
        <f>+IF(ISBLANK(VLOOKUP(A26,'Evaluación de riesgos'!$B$16:$J$160,9,9)),"",VLOOKUP(A26,'Evaluación de riesgos'!$B$16:$J$160,9,9))</f>
        <v>1</v>
      </c>
      <c r="M26" s="176">
        <f t="shared" si="5"/>
        <v>0.5</v>
      </c>
      <c r="N26" s="176">
        <f t="shared" si="4"/>
        <v>0.41176470588235292</v>
      </c>
      <c r="O26" s="176"/>
      <c r="P26" s="176"/>
    </row>
    <row r="27" spans="1:16" x14ac:dyDescent="0.2">
      <c r="A27" s="176" t="s">
        <v>375</v>
      </c>
      <c r="B27" s="176" t="str">
        <f t="shared" si="2"/>
        <v>6</v>
      </c>
      <c r="C27" s="176" t="str">
        <f>+MID(VLOOKUP(A27,'Evaluación de riesgos'!$B$13:$C$160,2,0),4,LEN(VLOOKUP(A27,'Evaluación de riesgos'!$B$13:$C$160,2,0))-4)</f>
        <v xml:space="preserve"> Los objetivos de los procesos, programas o proyectos (según aplique) que están definidos, son específicos, medibles, alcanzables, relevantes, delimitados en el tiempo</v>
      </c>
      <c r="D27" s="176" t="s">
        <v>326</v>
      </c>
      <c r="E27" s="176" t="str">
        <f>+VLOOKUP(A27,'Evaluación de riesgos'!$B$13:$K$160,3,0)</f>
        <v>Dimension de Gestion con Valores para Resultado
Politica de Fortalecimiento Organizacional y Simplificaciòn de Procesos</v>
      </c>
      <c r="F27" s="176" t="str">
        <f>+VLOOKUP(A27,'Evaluación de riesgos'!$B$13:$K$160,10,0)</f>
        <v>Deficiencia de control (diseño o ejecución)</v>
      </c>
      <c r="G27" s="176">
        <f>+VLOOKUP(A27,'Evaluación de riesgos'!$B$13:$O$160,13,0)</f>
        <v>101.8896</v>
      </c>
      <c r="H27" s="178">
        <f t="shared" si="3"/>
        <v>30</v>
      </c>
      <c r="I27" s="176" t="str">
        <f t="shared" si="0"/>
        <v>Cuando en el análisis de los requerimientos en los diferenes componentes del MECI se cuente con aspectos evaluados en nivel 1 (presente) y 1 (funcionando); 2 (presente) y 1 (funcionando).</v>
      </c>
      <c r="J27" s="176" t="s">
        <v>374</v>
      </c>
      <c r="K27" s="176">
        <f>+IF(ISBLANK(VLOOKUP(A27,'Evaluación de riesgos'!$B$16:$F$160,5,0)),"",VLOOKUP(A27,'Evaluación de riesgos'!$B$16:$F$160,5,0))</f>
        <v>2</v>
      </c>
      <c r="L27" s="176">
        <f>+IF(ISBLANK(VLOOKUP(A27,'Evaluación de riesgos'!$B$16:$J$160,9,9)),"",VLOOKUP(A27,'Evaluación de riesgos'!$B$16:$J$160,9,9))</f>
        <v>1</v>
      </c>
      <c r="M27" s="176">
        <f t="shared" si="5"/>
        <v>0.5</v>
      </c>
      <c r="N27" s="176">
        <f t="shared" si="4"/>
        <v>0.41176470588235292</v>
      </c>
      <c r="O27" s="176"/>
      <c r="P27" s="176"/>
    </row>
    <row r="28" spans="1:16" x14ac:dyDescent="0.2">
      <c r="A28" s="176" t="s">
        <v>376</v>
      </c>
      <c r="B28" s="176" t="str">
        <f t="shared" si="2"/>
        <v>6</v>
      </c>
      <c r="C28" s="176" t="str">
        <f>+MID(VLOOKUP(A28,'Evaluación de riesgos'!$B$13:$C$160,2,0),4,LEN(VLOOKUP(A28,'Evaluación de riesgos'!$B$13:$C$160,2,0))-4)</f>
        <v xml:space="preserve"> La Alta Dirección evalúa periódicamente los objetivos establecidos para asegurar que estos continúan siendo consistentes y apropiados para la Entidad</v>
      </c>
      <c r="D28" s="176" t="s">
        <v>326</v>
      </c>
      <c r="E28" s="176" t="str">
        <f>+VLOOKUP(A28,'Evaluación de riesgos'!$B$13:$K$160,3,0)</f>
        <v>Dimension de Direccionamiento Estratetegico y Planeacion.
Politica de Planeacion Institucional
Dimension Control Interno
Linea Estrategica</v>
      </c>
      <c r="F28" s="176" t="str">
        <f>+VLOOKUP(A28,'Evaluación de riesgos'!$B$13:$K$160,10,0)</f>
        <v>Deficiencia de control (diseño o ejecución)</v>
      </c>
      <c r="G28" s="176">
        <f>+VLOOKUP(A28,'Evaluación de riesgos'!$B$13:$O$160,13,0)</f>
        <v>101.97539999999999</v>
      </c>
      <c r="H28" s="178">
        <f t="shared" si="3"/>
        <v>31</v>
      </c>
      <c r="I28" s="176" t="str">
        <f t="shared" si="0"/>
        <v>Cuando en el análisis de los requerimientos en los diferenes componentes del MECI se cuente con aspectos evaluados en nivel 1 (presente) y 1 (funcionando); 2 (presente) y 1 (funcionando).</v>
      </c>
      <c r="J28" s="176" t="s">
        <v>374</v>
      </c>
      <c r="K28" s="176">
        <f>+IF(ISBLANK(VLOOKUP(A28,'Evaluación de riesgos'!$B$16:$F$160,5,0)),"",VLOOKUP(A28,'Evaluación de riesgos'!$B$16:$F$160,5,0))</f>
        <v>3</v>
      </c>
      <c r="L28" s="176">
        <f>+IF(ISBLANK(VLOOKUP(A28,'Evaluación de riesgos'!$B$16:$J$160,9,9)),"",VLOOKUP(A28,'Evaluación de riesgos'!$B$16:$J$160,9,9))</f>
        <v>2</v>
      </c>
      <c r="M28" s="176">
        <f t="shared" si="5"/>
        <v>0.5</v>
      </c>
      <c r="N28" s="176">
        <f t="shared" si="4"/>
        <v>0.41176470588235292</v>
      </c>
      <c r="O28" s="176"/>
      <c r="P28" s="176"/>
    </row>
    <row r="29" spans="1:16" x14ac:dyDescent="0.2">
      <c r="A29" s="176" t="s">
        <v>377</v>
      </c>
      <c r="B29" s="176" t="str">
        <f t="shared" si="2"/>
        <v>7</v>
      </c>
      <c r="C29" s="176" t="str">
        <f>+MID(VLOOKUP(A29,'Evaluación de riesgos'!$B$13:$C$160,2,0),4,LEN(VLOOKUP(A29,'Evaluación de riesgos'!$B$13:$C$160,2,0))-4)</f>
        <v xml:space="preserve"> Teniendo en cuenta la estructura de la política de Administración del Riesgo, su alcance define lineamientos para toda la entidad, incluyendo regionales, áreas tercerizadas u otras instancias que afectan la prestación del servicio</v>
      </c>
      <c r="D29" s="176" t="s">
        <v>326</v>
      </c>
      <c r="E29" s="176" t="str">
        <f>+VLOOKUP(A29,'Evaluación de riesgos'!$B$13:$K$160,3,0)</f>
        <v>Dimension de Direccionamiento Estratetegico y Planeacion.
Politica de Planeacion Institucional</v>
      </c>
      <c r="F29" s="176" t="str">
        <f>+VLOOKUP(A29,'Evaluación de riesgos'!$B$13:$K$160,10,0)</f>
        <v>Deficiencia de control (diseño o ejecución)</v>
      </c>
      <c r="G29" s="176">
        <f>+VLOOKUP(A29,'Evaluación de riesgos'!$B$13:$O$160,13,0)</f>
        <v>102.0896</v>
      </c>
      <c r="H29" s="178">
        <f t="shared" si="3"/>
        <v>32</v>
      </c>
      <c r="I29" s="176" t="str">
        <f t="shared" si="0"/>
        <v>Cuando en el análisis de los requerimientos en los diferenes componentes del MECI se cuente con aspectos evaluados en nivel 1 (presente) y 1 (funcionando); 2 (presente) y 1 (funcionando).</v>
      </c>
      <c r="J29" s="176" t="s">
        <v>378</v>
      </c>
      <c r="K29" s="176">
        <f>+IF(ISBLANK(VLOOKUP(A29,'Evaluación de riesgos'!$B$16:$F$160,5,0)),"",VLOOKUP(A29,'Evaluación de riesgos'!$B$16:$F$160,5,0))</f>
        <v>3</v>
      </c>
      <c r="L29" s="176">
        <f>+IF(ISBLANK(VLOOKUP(A29,'Evaluación de riesgos'!$B$16:$J$160,9,9)),"",VLOOKUP(A29,'Evaluación de riesgos'!$B$16:$J$160,9,9))</f>
        <v>2</v>
      </c>
      <c r="M29" s="176">
        <f t="shared" si="5"/>
        <v>0.5</v>
      </c>
      <c r="N29" s="176">
        <f t="shared" si="4"/>
        <v>0.41176470588235292</v>
      </c>
      <c r="O29" s="176"/>
      <c r="P29" s="176"/>
    </row>
    <row r="30" spans="1:16" x14ac:dyDescent="0.2">
      <c r="A30" s="176" t="s">
        <v>379</v>
      </c>
      <c r="B30" s="176" t="str">
        <f t="shared" si="2"/>
        <v>7</v>
      </c>
      <c r="C30" s="176" t="str">
        <f>+MID(VLOOKUP(A30,'Evaluación de riesgos'!$B$13:$C$160,2,0),4,LEN(VLOOKUP(A30,'Evaluación de riesgos'!$B$13:$C$160,2,0))-4)</f>
        <v xml:space="preserve"> La Oficina de Planeación, Gerencia de Riesgos (donde existan), como 2a línea de defensa, consolidan información clave frente a la gestión del riesgo</v>
      </c>
      <c r="D30" s="176" t="s">
        <v>326</v>
      </c>
      <c r="E30" s="176" t="str">
        <f>+VLOOKUP(A30,'Evaluación de riesgos'!$B$13:$K$160,3,0)</f>
        <v>Dimension Control Interno 
Lineas de Defensa</v>
      </c>
      <c r="F30" s="176" t="str">
        <f>+VLOOKUP(A30,'Evaluación de riesgos'!$B$13:$K$160,10,0)</f>
        <v>Deficiencia de control (diseño o ejecución)</v>
      </c>
      <c r="G30" s="176">
        <f>+VLOOKUP(A30,'Evaluación de riesgos'!$B$13:$O$160,13,0)</f>
        <v>102.1456</v>
      </c>
      <c r="H30" s="178">
        <f t="shared" si="3"/>
        <v>33</v>
      </c>
      <c r="I30" s="176" t="str">
        <f t="shared" si="0"/>
        <v>Cuando en el análisis de los requerimientos en los diferenes componentes del MECI se cuente con aspectos evaluados en nivel 1 (presente) y 1 (funcionando); 2 (presente) y 1 (funcionando).</v>
      </c>
      <c r="J30" s="176" t="s">
        <v>378</v>
      </c>
      <c r="K30" s="176">
        <f>+IF(ISBLANK(VLOOKUP(A30,'Evaluación de riesgos'!$B$16:$F$160,5,0)),"",VLOOKUP(A30,'Evaluación de riesgos'!$B$16:$F$160,5,0))</f>
        <v>3</v>
      </c>
      <c r="L30" s="176">
        <f>+IF(ISBLANK(VLOOKUP(A30,'Evaluación de riesgos'!$B$16:$J$160,9,9)),"",VLOOKUP(A30,'Evaluación de riesgos'!$B$16:$J$160,9,9))</f>
        <v>2</v>
      </c>
      <c r="M30" s="176">
        <f t="shared" si="5"/>
        <v>0.5</v>
      </c>
      <c r="N30" s="176">
        <f t="shared" si="4"/>
        <v>0.41176470588235292</v>
      </c>
      <c r="O30" s="176"/>
      <c r="P30" s="176"/>
    </row>
    <row r="31" spans="1:16" x14ac:dyDescent="0.2">
      <c r="A31" s="176" t="s">
        <v>380</v>
      </c>
      <c r="B31" s="176" t="str">
        <f t="shared" si="2"/>
        <v>7</v>
      </c>
      <c r="C31" s="176" t="str">
        <f>+MID(VLOOKUP(A31,'Evaluación de riesgos'!$B$13:$C$160,2,0),4,LEN(VLOOKUP(A31,'Evaluación de riesgos'!$B$13:$C$160,2,0))-4)</f>
        <v xml:space="preserve"> A partir de la información consolidada y reportada por la 2a línea de defensa (7.2), la Alta Dirección analiza sus resultados y en especial considera si se han presentado materializaciones de riesgo</v>
      </c>
      <c r="D31" s="176" t="s">
        <v>326</v>
      </c>
      <c r="E31" s="176" t="str">
        <f>+VLOOKUP(A31,'Evaluación de riesgos'!$B$13:$K$160,3,0)</f>
        <v>Dimension Control Interno 
Lineas de Defensa</v>
      </c>
      <c r="F31" s="176" t="str">
        <f>+VLOOKUP(A31,'Evaluación de riesgos'!$B$13:$K$160,10,0)</f>
        <v>Deficiencia de control mayor (diseño y ejecución)</v>
      </c>
      <c r="G31" s="176">
        <f>+VLOOKUP(A31,'Evaluación de riesgos'!$B$13:$O$160,13,0)</f>
        <v>82.236500000000007</v>
      </c>
      <c r="H31" s="178">
        <f t="shared" si="3"/>
        <v>25</v>
      </c>
      <c r="I31" s="176" t="str">
        <f t="shared" si="0"/>
        <v>Cuando en el análisis de los requerimientos en los diferenes componentes del MECI se cuente con aspectos evaluados en nivel 2 (presente) y 3 (funcionando).</v>
      </c>
      <c r="J31" s="176" t="s">
        <v>378</v>
      </c>
      <c r="K31" s="176">
        <f>+IF(ISBLANK(VLOOKUP(A31,'Evaluación de riesgos'!$B$16:$F$160,5,0)),"",VLOOKUP(A31,'Evaluación de riesgos'!$B$16:$F$160,5,0))</f>
        <v>1</v>
      </c>
      <c r="L31" s="176">
        <f>+IF(ISBLANK(VLOOKUP(A31,'Evaluación de riesgos'!$B$16:$J$160,9,9)),"",VLOOKUP(A31,'Evaluación de riesgos'!$B$16:$J$160,9,9))</f>
        <v>1</v>
      </c>
      <c r="M31" s="176">
        <f t="shared" si="5"/>
        <v>0</v>
      </c>
      <c r="N31" s="176">
        <f t="shared" si="4"/>
        <v>0.41176470588235292</v>
      </c>
      <c r="O31" s="176"/>
      <c r="P31" s="176"/>
    </row>
    <row r="32" spans="1:16" x14ac:dyDescent="0.2">
      <c r="A32" s="176" t="s">
        <v>381</v>
      </c>
      <c r="B32" s="176" t="str">
        <f t="shared" si="2"/>
        <v>7</v>
      </c>
      <c r="C32" s="176" t="str">
        <f>+MID(VLOOKUP(A32,'Evaluación de riesgos'!$B$13:$C$160,2,0),4,LEN(VLOOKUP(A32,'Evaluación de riesgos'!$B$13:$C$160,2,0))-4)</f>
        <v xml:space="preserve"> Cuando se detectan materializaciones de riesgo, se definen los cursos de acción en relación con la revisión y actualización del mapa de riesgos correspondiente</v>
      </c>
      <c r="D32" s="176" t="s">
        <v>326</v>
      </c>
      <c r="E32" s="176" t="str">
        <f>+VLOOKUP(A32,'Evaluación de riesgos'!$B$13:$K$160,3,0)</f>
        <v>Dimension de Direccionamiento Estratetegico y Planeacion.
Politica de Planeacion Institucional
Dimension Control Interno 
Lineas de Defensa</v>
      </c>
      <c r="F32" s="176" t="str">
        <f>+VLOOKUP(A32,'Evaluación de riesgos'!$B$13:$K$160,10,0)</f>
        <v>Mantenimiento del control</v>
      </c>
      <c r="G32" s="176">
        <f>+VLOOKUP(A32,'Evaluación de riesgos'!$B$13:$O$160,13,0)</f>
        <v>142.3896</v>
      </c>
      <c r="H32" s="178">
        <f t="shared" si="3"/>
        <v>41</v>
      </c>
      <c r="I32" s="176" t="str">
        <f t="shared" si="0"/>
        <v>Cuando en el análisis de los requerimientos en los diferenes componentes del MECI se cuente con aspectos evaluados en nivel 2 (presente) y 2 (funcionando); 3 (presente) y 1 (funcionando); 3 (presente) y 2 (funcionando).</v>
      </c>
      <c r="J32" s="176" t="s">
        <v>378</v>
      </c>
      <c r="K32" s="176">
        <f>+IF(ISBLANK(VLOOKUP(A32,'Evaluación de riesgos'!$B$16:$F$160,5,0)),"",VLOOKUP(A32,'Evaluación de riesgos'!$B$16:$F$160,5,0))</f>
        <v>3</v>
      </c>
      <c r="L32" s="176">
        <f>+IF(ISBLANK(VLOOKUP(A32,'Evaluación de riesgos'!$B$16:$J$160,9,9)),"",VLOOKUP(A32,'Evaluación de riesgos'!$B$16:$J$160,9,9))</f>
        <v>3</v>
      </c>
      <c r="M32" s="176">
        <f t="shared" si="5"/>
        <v>1</v>
      </c>
      <c r="N32" s="176">
        <f t="shared" si="4"/>
        <v>0.41176470588235292</v>
      </c>
      <c r="O32" s="176"/>
      <c r="P32" s="176"/>
    </row>
    <row r="33" spans="1:16" x14ac:dyDescent="0.2">
      <c r="A33" s="176" t="s">
        <v>382</v>
      </c>
      <c r="B33" s="176" t="str">
        <f t="shared" si="2"/>
        <v>7</v>
      </c>
      <c r="C33" s="176" t="str">
        <f>+MID(VLOOKUP(A33,'Evaluación de riesgos'!$B$13:$C$160,2,0),4,LEN(VLOOKUP(A33,'Evaluación de riesgos'!$B$13:$C$160,2,0))-4)</f>
        <v xml:space="preserve"> Se llevan a cabo seguimientos a las acciones definidas para resolver materializaciones de riesgo detectadas</v>
      </c>
      <c r="D33" s="176" t="s">
        <v>326</v>
      </c>
      <c r="E33" s="176" t="str">
        <f>+VLOOKUP(A33,'Evaluación de riesgos'!$B$13:$K$160,3,0)</f>
        <v>Dimension de Evaluacion de Resultados 
Politica de Seguimiento y evaluacion al Desempeño Institucional.
Dimension Control Interno 
Lineas de Defensa</v>
      </c>
      <c r="F33" s="176" t="str">
        <f>+VLOOKUP(A33,'Evaluación de riesgos'!$B$13:$K$160,10,0)</f>
        <v>Deficiencia de control (diseño o ejecución)</v>
      </c>
      <c r="G33" s="176">
        <f>+VLOOKUP(A33,'Evaluación de riesgos'!$B$13:$O$160,13,0)</f>
        <v>102.4563</v>
      </c>
      <c r="H33" s="178">
        <f t="shared" si="3"/>
        <v>34</v>
      </c>
      <c r="I33" s="176" t="str">
        <f t="shared" si="0"/>
        <v>Cuando en el análisis de los requerimientos en los diferenes componentes del MECI se cuente con aspectos evaluados en nivel 1 (presente) y 1 (funcionando); 2 (presente) y 1 (funcionando).</v>
      </c>
      <c r="J33" s="176" t="s">
        <v>378</v>
      </c>
      <c r="K33" s="176">
        <f>+IF(ISBLANK(VLOOKUP(A33,'Evaluación de riesgos'!$B$16:$F$160,5,0)),"",VLOOKUP(A33,'Evaluación de riesgos'!$B$16:$F$160,5,0))</f>
        <v>3</v>
      </c>
      <c r="L33" s="176">
        <f>+IF(ISBLANK(VLOOKUP(A33,'Evaluación de riesgos'!$B$16:$J$160,9,9)),"",VLOOKUP(A33,'Evaluación de riesgos'!$B$16:$J$160,9,9))</f>
        <v>2</v>
      </c>
      <c r="M33" s="176">
        <f t="shared" si="5"/>
        <v>0.5</v>
      </c>
      <c r="N33" s="176">
        <f t="shared" si="4"/>
        <v>0.41176470588235292</v>
      </c>
      <c r="O33" s="176"/>
      <c r="P33" s="176"/>
    </row>
    <row r="34" spans="1:16" x14ac:dyDescent="0.2">
      <c r="A34" s="176" t="s">
        <v>383</v>
      </c>
      <c r="B34" s="176" t="str">
        <f t="shared" si="2"/>
        <v>8</v>
      </c>
      <c r="C34" s="176" t="str">
        <f>+MID(VLOOKUP(A34,'Evaluación de riesgos'!$B$13:$C$160,2,0),4,LEN(VLOOKUP(A34,'Evaluación de riesgos'!$B$13:$C$160,2,0))-4)</f>
        <v xml:space="preserve"> La Alta Dirección acorde con el análisis del entorno interno y externo, define los procesos, programas o proyectos (según aplique), susceptibles de posibles actos de corrupción</v>
      </c>
      <c r="D34" s="176" t="s">
        <v>326</v>
      </c>
      <c r="E34" s="176" t="str">
        <f>+VLOOKUP(A34,'Evaluación de riesgos'!$B$13:$K$160,3,0)</f>
        <v>Dimension de Direccionamiento Estratetegico y Planeacion.
Politica de Planeacion Institucional</v>
      </c>
      <c r="F34" s="176" t="str">
        <f>+VLOOKUP(A34,'Evaluación de riesgos'!$B$13:$K$160,10,0)</f>
        <v>Deficiencia de control (diseño o ejecución)</v>
      </c>
      <c r="G34" s="176">
        <f>+VLOOKUP(A34,'Evaluación de riesgos'!$B$13:$O$160,13,0)</f>
        <v>102.5458</v>
      </c>
      <c r="H34" s="178">
        <f t="shared" si="3"/>
        <v>35</v>
      </c>
      <c r="I34" s="176" t="str">
        <f t="shared" ref="I34:I65" si="8">+IF(F34=$F$2,$P$4,IF(F34=$F$3,$P$2,$P$3))</f>
        <v>Cuando en el análisis de los requerimientos en los diferenes componentes del MECI se cuente con aspectos evaluados en nivel 1 (presente) y 1 (funcionando); 2 (presente) y 1 (funcionando).</v>
      </c>
      <c r="J34" s="176" t="s">
        <v>384</v>
      </c>
      <c r="K34" s="176">
        <f>+IF(ISBLANK(VLOOKUP(A34,'Evaluación de riesgos'!$B$16:$F$160,5,0)),"",VLOOKUP(A34,'Evaluación de riesgos'!$B$16:$F$160,5,0))</f>
        <v>3</v>
      </c>
      <c r="L34" s="176">
        <f>+IF(ISBLANK(VLOOKUP(A34,'Evaluación de riesgos'!$B$16:$J$160,9,9)),"",VLOOKUP(A34,'Evaluación de riesgos'!$B$16:$J$160,9,9))</f>
        <v>2</v>
      </c>
      <c r="M34" s="176">
        <f t="shared" si="5"/>
        <v>0.5</v>
      </c>
      <c r="N34" s="176">
        <f t="shared" si="4"/>
        <v>0.41176470588235292</v>
      </c>
      <c r="O34" s="176"/>
      <c r="P34" s="176"/>
    </row>
    <row r="35" spans="1:16" x14ac:dyDescent="0.2">
      <c r="A35" s="176" t="s">
        <v>385</v>
      </c>
      <c r="B35" s="176" t="str">
        <f t="shared" si="2"/>
        <v>8</v>
      </c>
      <c r="C35" s="176" t="str">
        <f>+MID(VLOOKUP(A35,'Evaluación de riesgos'!$B$13:$C$160,2,0),4,LEN(VLOOKUP(A35,'Evaluación de riesgos'!$B$13:$C$160,2,0))-4)</f>
        <v xml:space="preserve"> La Alta Dirección monitorea los riesgos de corrupción con la periodicidad establecida en la Política de Administración del Riesgo</v>
      </c>
      <c r="D35" s="176" t="s">
        <v>326</v>
      </c>
      <c r="E35" s="176" t="str">
        <f>+VLOOKUP(A35,'Evaluación de riesgos'!$B$13:$K$160,3,0)</f>
        <v>Dimension de Control Interno
Linea Estrategica</v>
      </c>
      <c r="F35" s="176" t="str">
        <f>+VLOOKUP(A35,'Evaluación de riesgos'!$B$13:$K$160,10,0)</f>
        <v>Deficiencia de control (diseño o ejecución)</v>
      </c>
      <c r="G35" s="176">
        <f>+VLOOKUP(A35,'Evaluación de riesgos'!$B$13:$O$160,13,0)</f>
        <v>102.63209999999999</v>
      </c>
      <c r="H35" s="178">
        <f t="shared" si="3"/>
        <v>36</v>
      </c>
      <c r="I35" s="176" t="str">
        <f t="shared" si="8"/>
        <v>Cuando en el análisis de los requerimientos en los diferenes componentes del MECI se cuente con aspectos evaluados en nivel 1 (presente) y 1 (funcionando); 2 (presente) y 1 (funcionando).</v>
      </c>
      <c r="J35" s="176" t="s">
        <v>384</v>
      </c>
      <c r="K35" s="176">
        <f>+IF(ISBLANK(VLOOKUP(A35,'Evaluación de riesgos'!$B$16:$F$160,5,0)),"",VLOOKUP(A35,'Evaluación de riesgos'!$B$16:$F$160,5,0))</f>
        <v>2</v>
      </c>
      <c r="L35" s="176">
        <f>+IF(ISBLANK(VLOOKUP(A35,'Evaluación de riesgos'!$B$16:$J$160,9,9)),"",VLOOKUP(A35,'Evaluación de riesgos'!$B$16:$J$160,9,9))</f>
        <v>2</v>
      </c>
      <c r="M35" s="176">
        <f t="shared" si="5"/>
        <v>0.5</v>
      </c>
      <c r="N35" s="176">
        <f t="shared" si="4"/>
        <v>0.41176470588235292</v>
      </c>
      <c r="O35" s="176"/>
      <c r="P35" s="176"/>
    </row>
    <row r="36" spans="1:16" x14ac:dyDescent="0.2">
      <c r="A36" s="176" t="s">
        <v>386</v>
      </c>
      <c r="B36" s="176" t="str">
        <f t="shared" si="2"/>
        <v>8</v>
      </c>
      <c r="C36" s="176" t="str">
        <f>+MID(VLOOKUP(A36,'Evaluación de riesgos'!$B$13:$C$160,2,0),4,LEN(VLOOKUP(A36,'Evaluación de riesgos'!$B$13:$C$160,2,0))-4)</f>
        <v xml:space="preserve"> Para el desarrollo de las actividades de control, la entidad considera la adecuada división de las funciones y que éstas se encuentren segregadas en diferentes personas para reducir el riesgo de acciones fraudulentas</v>
      </c>
      <c r="D36" s="176" t="s">
        <v>326</v>
      </c>
      <c r="E36" s="176" t="str">
        <f>+VLOOKUP(A36,'Evaluación de riesgos'!$B$13:$K$160,3,0)</f>
        <v>Dimension de Contro Interno
Lineas de Defensa</v>
      </c>
      <c r="F36" s="176" t="str">
        <f>+VLOOKUP(A36,'Evaluación de riesgos'!$B$13:$K$160,10,0)</f>
        <v>Deficiencia de control (diseño o ejecución)</v>
      </c>
      <c r="G36" s="176">
        <f>+VLOOKUP(A36,'Evaluación de riesgos'!$B$13:$O$160,13,0)</f>
        <v>102.7456</v>
      </c>
      <c r="H36" s="178">
        <f t="shared" si="3"/>
        <v>37</v>
      </c>
      <c r="I36" s="176" t="str">
        <f t="shared" si="8"/>
        <v>Cuando en el análisis de los requerimientos en los diferenes componentes del MECI se cuente con aspectos evaluados en nivel 1 (presente) y 1 (funcionando); 2 (presente) y 1 (funcionando).</v>
      </c>
      <c r="J36" s="176" t="s">
        <v>384</v>
      </c>
      <c r="K36" s="176">
        <f>+IF(ISBLANK(VLOOKUP(A36,'Evaluación de riesgos'!$B$16:$F$160,5,0)),"",VLOOKUP(A36,'Evaluación de riesgos'!$B$16:$F$160,5,0))</f>
        <v>3</v>
      </c>
      <c r="L36" s="176">
        <f>+IF(ISBLANK(VLOOKUP(A36,'Evaluación de riesgos'!$B$16:$J$160,9,9)),"",VLOOKUP(A36,'Evaluación de riesgos'!$B$16:$J$160,9,9))</f>
        <v>2</v>
      </c>
      <c r="M36" s="176">
        <f t="shared" si="5"/>
        <v>0.5</v>
      </c>
      <c r="N36" s="176">
        <f t="shared" si="4"/>
        <v>0.41176470588235292</v>
      </c>
      <c r="O36" s="176"/>
      <c r="P36" s="176"/>
    </row>
    <row r="37" spans="1:16" x14ac:dyDescent="0.2">
      <c r="A37" s="176" t="s">
        <v>387</v>
      </c>
      <c r="B37" s="176" t="str">
        <f t="shared" si="2"/>
        <v>8</v>
      </c>
      <c r="C37" s="176" t="str">
        <f>+MID(VLOOKUP(A37,'Evaluación de riesgos'!$B$13:$C$160,2,0),4,LEN(VLOOKUP(A37,'Evaluación de riesgos'!$B$13:$C$160,2,0))-4)</f>
        <v xml:space="preserve"> La Alta Dirección evalúa fallas en los controles (diseño y ejecución) para definir cursos de acción apropiados para su mejora</v>
      </c>
      <c r="D37" s="176" t="s">
        <v>326</v>
      </c>
      <c r="E37" s="176" t="str">
        <f>+VLOOKUP(A37,'Evaluación de riesgos'!$B$13:$K$160,3,0)</f>
        <v>Dimension de Control Interno
Linea Estrategica</v>
      </c>
      <c r="F37" s="176" t="str">
        <f>+VLOOKUP(A37,'Evaluación de riesgos'!$B$13:$K$160,10,0)</f>
        <v>Deficiencia de control (diseño o ejecución)</v>
      </c>
      <c r="G37" s="176">
        <f>+VLOOKUP(A37,'Evaluación de riesgos'!$B$13:$O$160,13,0)</f>
        <v>102.8745</v>
      </c>
      <c r="H37" s="178">
        <f t="shared" si="3"/>
        <v>38</v>
      </c>
      <c r="I37" s="176" t="str">
        <f t="shared" si="8"/>
        <v>Cuando en el análisis de los requerimientos en los diferenes componentes del MECI se cuente con aspectos evaluados en nivel 1 (presente) y 1 (funcionando); 2 (presente) y 1 (funcionando).</v>
      </c>
      <c r="J37" s="176" t="s">
        <v>384</v>
      </c>
      <c r="K37" s="176">
        <f>+IF(ISBLANK(VLOOKUP(A37,'Evaluación de riesgos'!$B$16:$F$160,5,0)),"",VLOOKUP(A37,'Evaluación de riesgos'!$B$16:$F$160,5,0))</f>
        <v>3</v>
      </c>
      <c r="L37" s="176">
        <f>+IF(ISBLANK(VLOOKUP(A37,'Evaluación de riesgos'!$B$16:$J$160,9,9)),"",VLOOKUP(A37,'Evaluación de riesgos'!$B$16:$J$160,9,9))</f>
        <v>2</v>
      </c>
      <c r="M37" s="176">
        <f t="shared" si="5"/>
        <v>0.5</v>
      </c>
      <c r="N37" s="176">
        <f t="shared" si="4"/>
        <v>0.41176470588235292</v>
      </c>
      <c r="O37" s="176"/>
      <c r="P37" s="176"/>
    </row>
    <row r="38" spans="1:16" x14ac:dyDescent="0.2">
      <c r="A38" s="176" t="s">
        <v>388</v>
      </c>
      <c r="B38" s="176" t="str">
        <f t="shared" si="2"/>
        <v>9</v>
      </c>
      <c r="C38" s="176" t="str">
        <f>+MID(VLOOKUP(A38,'Evaluación de riesgos'!$B$13:$C$160,2,0),4,LEN(VLOOKUP(A38,'Evaluación de riesgos'!$B$13:$C$160,2,0))-4)</f>
        <v xml:space="preserve"> Acorde con lo establecido en la política de Administración del Riesgo, se monitorean los factores internos y externos definidos para la entidad, a fin de establecer cambios en el entorno que determinen nuevos riesgos o ajustes a los existentes</v>
      </c>
      <c r="D38" s="176" t="s">
        <v>326</v>
      </c>
      <c r="E38" s="176" t="str">
        <f>+VLOOKUP(A38,'Evaluación de riesgos'!$B$13:$K$160,3,0)</f>
        <v>Dimension de Direccionamiento Estrategico 
Politica de Planeacion Institucional</v>
      </c>
      <c r="F38" s="176" t="str">
        <f>+VLOOKUP(A38,'Evaluación de riesgos'!$B$13:$K$160,10,0)</f>
        <v>Deficiencia de control (diseño o ejecución)</v>
      </c>
      <c r="G38" s="176">
        <f>+VLOOKUP(A38,'Evaluación de riesgos'!$B$13:$O$160,13,0)</f>
        <v>102.9635</v>
      </c>
      <c r="H38" s="178">
        <f t="shared" si="3"/>
        <v>39</v>
      </c>
      <c r="I38" s="176" t="str">
        <f t="shared" si="8"/>
        <v>Cuando en el análisis de los requerimientos en los diferenes componentes del MECI se cuente con aspectos evaluados en nivel 1 (presente) y 1 (funcionando); 2 (presente) y 1 (funcionando).</v>
      </c>
      <c r="J38" s="176" t="s">
        <v>389</v>
      </c>
      <c r="K38" s="176">
        <f>+IF(ISBLANK(VLOOKUP(A38,'Evaluación de riesgos'!$B$16:$F$160,5,0)),"",VLOOKUP(A38,'Evaluación de riesgos'!$B$16:$F$160,5,0))</f>
        <v>3</v>
      </c>
      <c r="L38" s="176">
        <f>+IF(ISBLANK(VLOOKUP(A38,'Evaluación de riesgos'!$B$16:$J$160,9,9)),"",VLOOKUP(A38,'Evaluación de riesgos'!$B$16:$J$160,9,9))</f>
        <v>2</v>
      </c>
      <c r="M38" s="176">
        <f t="shared" si="5"/>
        <v>0.5</v>
      </c>
      <c r="N38" s="176">
        <f t="shared" si="4"/>
        <v>0.41176470588235292</v>
      </c>
      <c r="O38" s="176"/>
      <c r="P38" s="176"/>
    </row>
    <row r="39" spans="1:16" x14ac:dyDescent="0.2">
      <c r="A39" s="176" t="s">
        <v>390</v>
      </c>
      <c r="B39" s="176" t="str">
        <f t="shared" si="2"/>
        <v>9</v>
      </c>
      <c r="C39" s="176" t="str">
        <f>+MID(VLOOKUP(A39,'Evaluación de riesgos'!$B$13:$C$160,2,0),4,LEN(VLOOKUP(A39,'Evaluación de riesgos'!$B$13:$C$160,2,0))-4)</f>
        <v xml:space="preserve"> La Alta Dirección analiza los riesgos asociados a actividades tercerizadas, regionales u otras figuras externas que afecten la prestación del servicio a los usuarios, basados en los informes de la segunda y tercera linea de defensa</v>
      </c>
      <c r="D39" s="176" t="s">
        <v>326</v>
      </c>
      <c r="E39" s="176" t="str">
        <f>+VLOOKUP(A39,'Evaluación de riesgos'!$B$13:$K$160,3,0)</f>
        <v>Dimension de Control Interno
Lineas de Defensa</v>
      </c>
      <c r="F39" s="176" t="str">
        <f>+VLOOKUP(A39,'Evaluación de riesgos'!$B$13:$K$160,10,0)</f>
        <v>Deficiencia de control (diseño o ejecución)</v>
      </c>
      <c r="G39" s="176">
        <f>+VLOOKUP(A39,'Evaluación de riesgos'!$B$13:$O$160,13,0)</f>
        <v>103.0125</v>
      </c>
      <c r="H39" s="178">
        <f t="shared" si="3"/>
        <v>40</v>
      </c>
      <c r="I39" s="176" t="str">
        <f t="shared" si="8"/>
        <v>Cuando en el análisis de los requerimientos en los diferenes componentes del MECI se cuente con aspectos evaluados en nivel 1 (presente) y 1 (funcionando); 2 (presente) y 1 (funcionando).</v>
      </c>
      <c r="J39" s="176" t="s">
        <v>389</v>
      </c>
      <c r="K39" s="176">
        <f>+IF(ISBLANK(VLOOKUP(A39,'Evaluación de riesgos'!$B$16:$F$160,5,0)),"",VLOOKUP(A39,'Evaluación de riesgos'!$B$16:$F$160,5,0))</f>
        <v>3</v>
      </c>
      <c r="L39" s="176">
        <f>+IF(ISBLANK(VLOOKUP(A39,'Evaluación de riesgos'!$B$16:$J$160,9,9)),"",VLOOKUP(A39,'Evaluación de riesgos'!$B$16:$J$160,9,9))</f>
        <v>1</v>
      </c>
      <c r="M39" s="176">
        <f t="shared" si="5"/>
        <v>0.5</v>
      </c>
      <c r="N39" s="176">
        <f t="shared" si="4"/>
        <v>0.41176470588235292</v>
      </c>
      <c r="O39" s="176"/>
      <c r="P39" s="176"/>
    </row>
    <row r="40" spans="1:16" x14ac:dyDescent="0.2">
      <c r="A40" s="176" t="s">
        <v>391</v>
      </c>
      <c r="B40" s="176" t="str">
        <f t="shared" si="2"/>
        <v>9</v>
      </c>
      <c r="C40" s="176" t="str">
        <f>+MID(VLOOKUP(A40,'Evaluación de riesgos'!$B$13:$C$160,2,0),4,LEN(VLOOKUP(A40,'Evaluación de riesgos'!$B$13:$C$160,2,0))-4)</f>
        <v xml:space="preserve"> La Alta Dirección monitorea los riesgos aceptados revisando que sus condiciones no hayan cambiado y definir su pertinencia para sostenerlos o ajustarlos</v>
      </c>
      <c r="D40" s="176" t="s">
        <v>326</v>
      </c>
      <c r="E40" s="176" t="str">
        <f>+VLOOKUP(A40,'Evaluación de riesgos'!$B$13:$K$160,3,0)</f>
        <v>Dimension de Control Interno
Linea Estrategica</v>
      </c>
      <c r="F40" s="176" t="str">
        <f>+VLOOKUP(A40,'Evaluación de riesgos'!$B$13:$K$160,10,0)</f>
        <v>Deficiencia de control mayor (diseño y ejecución)</v>
      </c>
      <c r="G40" s="176">
        <f>+VLOOKUP(A40,'Evaluación de riesgos'!$B$13:$O$160,13,0)</f>
        <v>83.123599999999996</v>
      </c>
      <c r="H40" s="178">
        <f t="shared" si="3"/>
        <v>26</v>
      </c>
      <c r="I40" s="176" t="str">
        <f t="shared" si="8"/>
        <v>Cuando en el análisis de los requerimientos en los diferenes componentes del MECI se cuente con aspectos evaluados en nivel 2 (presente) y 3 (funcionando).</v>
      </c>
      <c r="J40" s="176" t="s">
        <v>389</v>
      </c>
      <c r="K40" s="176">
        <f>+IF(ISBLANK(VLOOKUP(A40,'Evaluación de riesgos'!$B$16:$F$160,5,0)),"",VLOOKUP(A40,'Evaluación de riesgos'!$B$16:$F$160,5,0))</f>
        <v>1</v>
      </c>
      <c r="L40" s="176">
        <f>+IF(ISBLANK(VLOOKUP(A40,'Evaluación de riesgos'!$B$16:$J$160,9,9)),"",VLOOKUP(A40,'Evaluación de riesgos'!$B$16:$J$160,9,9))</f>
        <v>1</v>
      </c>
      <c r="M40" s="176">
        <f t="shared" si="5"/>
        <v>0</v>
      </c>
      <c r="N40" s="176">
        <f t="shared" si="4"/>
        <v>0.41176470588235292</v>
      </c>
      <c r="O40" s="176"/>
      <c r="P40" s="176"/>
    </row>
    <row r="41" spans="1:16" x14ac:dyDescent="0.2">
      <c r="A41" s="176" t="s">
        <v>392</v>
      </c>
      <c r="B41" s="176" t="str">
        <f t="shared" si="2"/>
        <v>9</v>
      </c>
      <c r="C41" s="176" t="str">
        <f>+MID(VLOOKUP(A41,'Evaluación de riesgos'!$B$13:$C$160,2,0),4,LEN(VLOOKUP(A41,'Evaluación de riesgos'!$B$13:$C$160,2,0))-4)</f>
        <v xml:space="preserve"> La Alta Dirección evalúa fallas en los controles (diseño y ejecución) para definir cursos de acción apropiados para su mejora, basados en los informes de la segunda y tercera linea de defensa</v>
      </c>
      <c r="D41" s="176" t="s">
        <v>326</v>
      </c>
      <c r="E41" s="176" t="str">
        <f>+VLOOKUP(A41,'Evaluación de riesgos'!$B$13:$K$160,3,0)</f>
        <v>Dimension de Control Interno
Lineas de Defensa</v>
      </c>
      <c r="F41" s="176" t="str">
        <f>+VLOOKUP(A41,'Evaluación de riesgos'!$B$13:$K$160,10,0)</f>
        <v>Deficiencia de control mayor (diseño y ejecución)</v>
      </c>
      <c r="G41" s="176">
        <f>+VLOOKUP(A41,'Evaluación de riesgos'!$B$13:$O$160,13,0)</f>
        <v>83.245599999999996</v>
      </c>
      <c r="H41" s="178">
        <f t="shared" si="3"/>
        <v>27</v>
      </c>
      <c r="I41" s="176" t="str">
        <f t="shared" si="8"/>
        <v>Cuando en el análisis de los requerimientos en los diferenes componentes del MECI se cuente con aspectos evaluados en nivel 2 (presente) y 3 (funcionando).</v>
      </c>
      <c r="J41" s="176" t="s">
        <v>389</v>
      </c>
      <c r="K41" s="176">
        <f>+IF(ISBLANK(VLOOKUP(A41,'Evaluación de riesgos'!$B$16:$F$160,5,0)),"",VLOOKUP(A41,'Evaluación de riesgos'!$B$16:$F$160,5,0))</f>
        <v>1</v>
      </c>
      <c r="L41" s="176">
        <f>+IF(ISBLANK(VLOOKUP(A41,'Evaluación de riesgos'!$B$16:$J$160,9,9)),"",VLOOKUP(A41,'Evaluación de riesgos'!$B$16:$J$160,9,9))</f>
        <v>1</v>
      </c>
      <c r="M41" s="176">
        <f t="shared" si="5"/>
        <v>0</v>
      </c>
      <c r="N41" s="176">
        <f t="shared" si="4"/>
        <v>0.41176470588235292</v>
      </c>
      <c r="O41" s="176"/>
      <c r="P41" s="176"/>
    </row>
    <row r="42" spans="1:16" x14ac:dyDescent="0.2">
      <c r="A42" s="176" t="s">
        <v>393</v>
      </c>
      <c r="B42" s="176" t="str">
        <f t="shared" si="2"/>
        <v>9</v>
      </c>
      <c r="C42" s="176" t="str">
        <f>+MID(VLOOKUP(A42,'Evaluación de riesgos'!$B$13:$C$160,2,0),4,LEN(VLOOKUP(A42,'Evaluación de riesgos'!$B$13:$C$160,2,0))-4)</f>
        <v xml:space="preserve"> La entidad analiza el impacto sobre el control interno por cambios en los diferentes niveles organizacionales</v>
      </c>
      <c r="D42" s="176" t="s">
        <v>326</v>
      </c>
      <c r="E42" s="176" t="str">
        <f>+VLOOKUP(A42,'Evaluación de riesgos'!$B$13:$K$160,3,0)</f>
        <v>Dimension de Direccionamiento Estrategico y Planeacion
Politica de Planeacion Institucional
Dimension de Control Interno
Linea Estrategica</v>
      </c>
      <c r="F42" s="176" t="str">
        <f>+VLOOKUP(A42,'Evaluación de riesgos'!$B$13:$K$160,10,0)</f>
        <v>Deficiencia de control mayor (diseño y ejecución)</v>
      </c>
      <c r="G42" s="176">
        <f>+VLOOKUP(A42,'Evaluación de riesgos'!$B$13:$O$160,13,0)</f>
        <v>83.365399999999994</v>
      </c>
      <c r="H42" s="178">
        <f t="shared" si="3"/>
        <v>28</v>
      </c>
      <c r="I42" s="176" t="str">
        <f t="shared" si="8"/>
        <v>Cuando en el análisis de los requerimientos en los diferenes componentes del MECI se cuente con aspectos evaluados en nivel 2 (presente) y 3 (funcionando).</v>
      </c>
      <c r="J42" s="176" t="s">
        <v>389</v>
      </c>
      <c r="K42" s="176">
        <f>+IF(ISBLANK(VLOOKUP(A42,'Evaluación de riesgos'!$B$16:$F$160,5,0)),"",VLOOKUP(A42,'Evaluación de riesgos'!$B$16:$F$160,5,0))</f>
        <v>1</v>
      </c>
      <c r="L42" s="176">
        <f>+IF(ISBLANK(VLOOKUP(A42,'Evaluación de riesgos'!$B$16:$J$160,9,9)),"",VLOOKUP(A42,'Evaluación de riesgos'!$B$16:$J$160,9,9))</f>
        <v>1</v>
      </c>
      <c r="M42" s="176">
        <f t="shared" si="5"/>
        <v>0</v>
      </c>
      <c r="N42" s="176">
        <f t="shared" si="4"/>
        <v>0.41176470588235292</v>
      </c>
      <c r="O42" s="176"/>
      <c r="P42" s="176"/>
    </row>
    <row r="43" spans="1:16" x14ac:dyDescent="0.2">
      <c r="A43" s="176" t="s">
        <v>394</v>
      </c>
      <c r="B43" s="176" t="str">
        <f>+LEFT(A43,2)</f>
        <v>10</v>
      </c>
      <c r="C43" s="176" t="str">
        <f>+MID(VLOOKUP(A43,'Actividades de control'!$B$13:$C$176,2,0),5,LEN(VLOOKUP(A43,'Actividades de control'!$B$13:$C$176,2,0))-5)</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176" t="s">
        <v>327</v>
      </c>
      <c r="E43" s="176" t="str">
        <f>+VLOOKUP(A43,'Actividades de control'!$B$18:$K$122,3,0)</f>
        <v>Dimension de Control Interno
Lineas de Defensa</v>
      </c>
      <c r="F43" s="176" t="str">
        <f>+VLOOKUP(A43,'Actividades de control'!$B$18:$K$122,10,0)</f>
        <v>Deficiencia de control (diseño o ejecución)</v>
      </c>
      <c r="G43" s="176">
        <f>+VLOOKUP(A43,'Actividades de control'!$B$13:$N$176,13,0)</f>
        <v>183.45689999999999</v>
      </c>
      <c r="H43" s="178">
        <f t="shared" si="3"/>
        <v>45</v>
      </c>
      <c r="I43" s="176" t="str">
        <f t="shared" si="8"/>
        <v>Cuando en el análisis de los requerimientos en los diferenes componentes del MECI se cuente con aspectos evaluados en nivel 1 (presente) y 1 (funcionando); 2 (presente) y 1 (funcionando).</v>
      </c>
      <c r="J43" s="176" t="s">
        <v>395</v>
      </c>
      <c r="K43" s="176">
        <f>+IF(ISBLANK(VLOOKUP(A43,'Actividades de control'!$B$21:$F$122,5,0)),"",VLOOKUP(A43,'Actividades de control'!$B$21:$F$122,5,0))</f>
        <v>3</v>
      </c>
      <c r="L43" s="176">
        <f>+IF(ISBLANK(VLOOKUP(A43,'Actividades de control'!$B$21:$J$122,9,0)),"",VLOOKUP(A43,'Actividades de control'!$B$21:$J$122,9,0))</f>
        <v>1</v>
      </c>
      <c r="M43" s="176">
        <f t="shared" si="5"/>
        <v>0.5</v>
      </c>
      <c r="N43" s="176">
        <f t="shared" si="4"/>
        <v>0.375</v>
      </c>
      <c r="O43" s="176"/>
      <c r="P43" s="176"/>
    </row>
    <row r="44" spans="1:16" x14ac:dyDescent="0.2">
      <c r="A44" s="176" t="s">
        <v>396</v>
      </c>
      <c r="B44" s="176" t="str">
        <f t="shared" ref="B44:B82" si="9">+LEFT(A44,2)</f>
        <v>10</v>
      </c>
      <c r="C44" s="176" t="str">
        <f>+MID(VLOOKUP(A44,'Actividades de control'!$B$13:$C$176,2,0),5,LEN(VLOOKUP(A44,'Actividades de control'!$B$13:$C$176,2,0))-5)</f>
        <v xml:space="preserve"> Se han idenfificado y documentado las situaciones específicas en donde no es posible segregar adecuadamente las funciones (ej: falta de personal, presupuesto), con el fin de definir actividades de control alternativas para cubrir los riesgos identificados.</v>
      </c>
      <c r="D44" s="176" t="s">
        <v>327</v>
      </c>
      <c r="E44" s="176" t="str">
        <f>+VLOOKUP(A44,'Actividades de control'!$B$18:$K$122,3,0)</f>
        <v>Dimension de Control Interno
Lineas de Defensa</v>
      </c>
      <c r="F44" s="176" t="str">
        <f>+VLOOKUP(A44,'Actividades de control'!$B$18:$K$122,10,0)</f>
        <v>Deficiencia de control (diseño o ejecución)</v>
      </c>
      <c r="G44" s="176">
        <f>+VLOOKUP(A44,'Actividades de control'!$B$13:$N$176,13,0)</f>
        <v>183.5478</v>
      </c>
      <c r="H44" s="178">
        <f t="shared" si="3"/>
        <v>46</v>
      </c>
      <c r="I44" s="176" t="str">
        <f t="shared" si="8"/>
        <v>Cuando en el análisis de los requerimientos en los diferenes componentes del MECI se cuente con aspectos evaluados en nivel 1 (presente) y 1 (funcionando); 2 (presente) y 1 (funcionando).</v>
      </c>
      <c r="J44" s="176" t="s">
        <v>395</v>
      </c>
      <c r="K44" s="176">
        <f>+IF(ISBLANK(VLOOKUP(A44,'Actividades de control'!$B$21:$F$122,5,0)),"",VLOOKUP(A44,'Actividades de control'!$B$21:$F$122,5,0))</f>
        <v>2</v>
      </c>
      <c r="L44" s="176">
        <f>+IF(ISBLANK(VLOOKUP(A44,'Actividades de control'!$B$21:$J$122,9,0)),"",VLOOKUP(A44,'Actividades de control'!$B$21:$J$122,9,0))</f>
        <v>1</v>
      </c>
      <c r="M44" s="176">
        <f t="shared" si="5"/>
        <v>0.5</v>
      </c>
      <c r="N44" s="176">
        <f t="shared" si="4"/>
        <v>0.375</v>
      </c>
      <c r="O44" s="176"/>
      <c r="P44" s="176"/>
    </row>
    <row r="45" spans="1:16" x14ac:dyDescent="0.2">
      <c r="A45" s="176" t="s">
        <v>397</v>
      </c>
      <c r="B45" s="176" t="str">
        <f t="shared" si="9"/>
        <v>10</v>
      </c>
      <c r="C45" s="176" t="str">
        <f>+MID(VLOOKUP(A45,'Actividades de control'!$B$13:$C$176,2,0),5,LEN(VLOOKUP(A45,'Actividades de control'!$B$13:$C$176,2,0))-5)</f>
        <v xml:space="preserve"> El diseño de otros  sistemas de gestión (bajo normas o estándares internacionales como la ISO), se intregan de forma adecuada a la estructura de control de la entidad</v>
      </c>
      <c r="D45" s="176" t="s">
        <v>327</v>
      </c>
      <c r="E45" s="176" t="str">
        <f>+VLOOKUP(A45,'Actividades de control'!$B$18:$K$122,3,0)</f>
        <v xml:space="preserve">
Dimension de Gestion con Valores para Resultados
Dimension de Control Interno
Lineas de Defensa</v>
      </c>
      <c r="F45" s="176" t="str">
        <f>+VLOOKUP(A45,'Actividades de control'!$B$18:$K$122,10,0)</f>
        <v>Deficiencia de control (diseño o ejecución)</v>
      </c>
      <c r="G45" s="176">
        <f>+VLOOKUP(A45,'Actividades de control'!$B$13:$N$176,13,0)</f>
        <v>183.64580000000001</v>
      </c>
      <c r="H45" s="178">
        <f t="shared" si="3"/>
        <v>47</v>
      </c>
      <c r="I45" s="176" t="str">
        <f t="shared" si="8"/>
        <v>Cuando en el análisis de los requerimientos en los diferenes componentes del MECI se cuente con aspectos evaluados en nivel 1 (presente) y 1 (funcionando); 2 (presente) y 1 (funcionando).</v>
      </c>
      <c r="J45" s="176" t="s">
        <v>395</v>
      </c>
      <c r="K45" s="176">
        <f>+IF(ISBLANK(VLOOKUP(A45,'Actividades de control'!$B$21:$F$122,5,0)),"",VLOOKUP(A45,'Actividades de control'!$B$21:$F$122,5,0))</f>
        <v>3</v>
      </c>
      <c r="L45" s="176">
        <f>+IF(ISBLANK(VLOOKUP(A45,'Actividades de control'!$B$21:$J$122,9,0)),"",VLOOKUP(A45,'Actividades de control'!$B$21:$J$122,9,0))</f>
        <v>2</v>
      </c>
      <c r="M45" s="176">
        <f t="shared" si="5"/>
        <v>0.5</v>
      </c>
      <c r="N45" s="176">
        <f t="shared" si="4"/>
        <v>0.375</v>
      </c>
      <c r="O45" s="176"/>
      <c r="P45" s="176"/>
    </row>
    <row r="46" spans="1:16" x14ac:dyDescent="0.2">
      <c r="A46" s="176" t="s">
        <v>398</v>
      </c>
      <c r="B46" s="176" t="str">
        <f t="shared" si="9"/>
        <v>11</v>
      </c>
      <c r="C46" s="176" t="str">
        <f>+MID(VLOOKUP(A46,'Actividades de control'!$B$13:$C$176,2,0),5,LEN(VLOOKUP(A46,'Actividades de control'!$B$13:$C$176,2,0))-5)</f>
        <v xml:space="preserve"> La entidad establece actividades de control relevantes sobre las infraestructuras tecnológicas; los procesos de gestión de la seguridad y sobre los procesos de adquisición, desarrollo y mantenimiento de tecnologías</v>
      </c>
      <c r="D46" s="176" t="s">
        <v>327</v>
      </c>
      <c r="E46" s="176" t="str">
        <f>+VLOOKUP(A46,'Actividades de control'!$B$18:$K$122,3,0)</f>
        <v xml:space="preserve">Dimension de Gestion con Valores para el Resultado
Politica de Gobierno Digital 
Politica de Seguridad Digital
</v>
      </c>
      <c r="F46" s="176" t="str">
        <f>+VLOOKUP(A46,'Actividades de control'!$B$18:$K$122,10,0)</f>
        <v>Deficiencia de control mayor (diseño y ejecución)</v>
      </c>
      <c r="G46" s="176">
        <f>+VLOOKUP(A46,'Actividades de control'!$B$13:$N$176,13,0)</f>
        <v>163.78960000000001</v>
      </c>
      <c r="H46" s="178">
        <f t="shared" si="3"/>
        <v>42</v>
      </c>
      <c r="I46" s="176" t="str">
        <f t="shared" si="8"/>
        <v>Cuando en el análisis de los requerimientos en los diferenes componentes del MECI se cuente con aspectos evaluados en nivel 2 (presente) y 3 (funcionando).</v>
      </c>
      <c r="J46" s="176" t="s">
        <v>399</v>
      </c>
      <c r="K46" s="176">
        <f>+IF(ISBLANK(VLOOKUP(A46,'Actividades de control'!$B$21:$F$122,5,0)),"",VLOOKUP(A46,'Actividades de control'!$B$21:$F$122,5,0))</f>
        <v>1</v>
      </c>
      <c r="L46" s="176">
        <f>+IF(ISBLANK(VLOOKUP(A46,'Actividades de control'!$B$21:$J$122,9,0)),"",VLOOKUP(A46,'Actividades de control'!$B$21:$J$122,9,0))</f>
        <v>1</v>
      </c>
      <c r="M46" s="176">
        <f t="shared" si="5"/>
        <v>0</v>
      </c>
      <c r="N46" s="176">
        <f t="shared" si="4"/>
        <v>0.375</v>
      </c>
      <c r="O46" s="176"/>
      <c r="P46" s="176"/>
    </row>
    <row r="47" spans="1:16" x14ac:dyDescent="0.2">
      <c r="A47" s="176" t="s">
        <v>400</v>
      </c>
      <c r="B47" s="176" t="str">
        <f t="shared" si="9"/>
        <v>11</v>
      </c>
      <c r="C47" s="176" t="str">
        <f>+MID(VLOOKUP(A47,'Actividades de control'!$B$13:$C$176,2,0),5,LEN(VLOOKUP(A47,'Actividades de control'!$B$13:$C$176,2,0))-5)</f>
        <v xml:space="preserve">  Para los proveedores de tecnología  selecciona y desarrolla actividades de control internas sobre las actividades realizadas por el proveedor de servicios</v>
      </c>
      <c r="D47" s="176" t="s">
        <v>327</v>
      </c>
      <c r="E47" s="176" t="str">
        <f>+VLOOKUP(A47,'Actividades de control'!$B$18:$K$122,3,0)</f>
        <v xml:space="preserve">Dimension de Gestion con Valores para el Resultado
Politica de Gobierno Digital 
Politica de Seguridad Digital
</v>
      </c>
      <c r="F47" s="176" t="str">
        <f>+VLOOKUP(A47,'Actividades de control'!$B$18:$K$122,10,0)</f>
        <v>Deficiencia de control mayor (diseño y ejecución)</v>
      </c>
      <c r="G47" s="176">
        <f>+VLOOKUP(A47,'Actividades de control'!$B$13:$N$176,13,0)</f>
        <v>163.84559999999999</v>
      </c>
      <c r="H47" s="178">
        <f t="shared" si="3"/>
        <v>43</v>
      </c>
      <c r="I47" s="176" t="str">
        <f t="shared" si="8"/>
        <v>Cuando en el análisis de los requerimientos en los diferenes componentes del MECI se cuente con aspectos evaluados en nivel 2 (presente) y 3 (funcionando).</v>
      </c>
      <c r="J47" s="176" t="s">
        <v>399</v>
      </c>
      <c r="K47" s="176">
        <f>+IF(ISBLANK(VLOOKUP(A47,'Actividades de control'!$B$21:$F$122,5,0)),"",VLOOKUP(A47,'Actividades de control'!$B$21:$F$122,5,0))</f>
        <v>1</v>
      </c>
      <c r="L47" s="176">
        <f>+IF(ISBLANK(VLOOKUP(A47,'Actividades de control'!$B$21:$J$122,9,0)),"",VLOOKUP(A47,'Actividades de control'!$B$21:$J$122,9,0))</f>
        <v>1</v>
      </c>
      <c r="M47" s="176">
        <f t="shared" si="5"/>
        <v>0</v>
      </c>
      <c r="N47" s="176">
        <f t="shared" si="4"/>
        <v>0.375</v>
      </c>
      <c r="O47" s="176"/>
      <c r="P47" s="176"/>
    </row>
    <row r="48" spans="1:16" x14ac:dyDescent="0.2">
      <c r="A48" s="176" t="s">
        <v>401</v>
      </c>
      <c r="B48" s="176" t="str">
        <f t="shared" si="9"/>
        <v>11</v>
      </c>
      <c r="C48" s="176" t="str">
        <f>+MID(VLOOKUP(A48,'Actividades de control'!$B$13:$C$176,2,0),5,LEN(VLOOKUP(A48,'Actividades de control'!$B$13:$C$176,2,0))-5)</f>
        <v xml:space="preserve"> Se cuenta con matrices de roles y usuarios siguiendo los principios de segregación de funciones.</v>
      </c>
      <c r="D48" s="176" t="s">
        <v>327</v>
      </c>
      <c r="E48" s="176" t="str">
        <f>+VLOOKUP(A48,'Actividades de control'!$B$18:$K$122,3,0)</f>
        <v xml:space="preserve">Dimension de Gestion con Valores para el Resultado
Politica de Fortalecimiento Organizacional y Simplificacion de Procesos.
</v>
      </c>
      <c r="F48" s="176" t="str">
        <f>+VLOOKUP(A48,'Actividades de control'!$B$18:$K$122,10,0)</f>
        <v>Deficiencia de control mayor (diseño y ejecución)</v>
      </c>
      <c r="G48" s="176">
        <f>+VLOOKUP(A48,'Actividades de control'!$B$13:$N$176,13,0)</f>
        <v>163.96539999999999</v>
      </c>
      <c r="H48" s="178">
        <f t="shared" si="3"/>
        <v>44</v>
      </c>
      <c r="I48" s="176" t="str">
        <f t="shared" si="8"/>
        <v>Cuando en el análisis de los requerimientos en los diferenes componentes del MECI se cuente con aspectos evaluados en nivel 2 (presente) y 3 (funcionando).</v>
      </c>
      <c r="J48" s="176" t="s">
        <v>399</v>
      </c>
      <c r="K48" s="176">
        <f>+IF(ISBLANK(VLOOKUP(A48,'Actividades de control'!$B$21:$F$122,5,0)),"",VLOOKUP(A48,'Actividades de control'!$B$21:$F$122,5,0))</f>
        <v>1</v>
      </c>
      <c r="L48" s="176">
        <f>+IF(ISBLANK(VLOOKUP(A48,'Actividades de control'!$B$21:$J$122,9,0)),"",VLOOKUP(A48,'Actividades de control'!$B$21:$J$122,9,0))</f>
        <v>1</v>
      </c>
      <c r="M48" s="176">
        <f t="shared" si="5"/>
        <v>0</v>
      </c>
      <c r="N48" s="176">
        <f t="shared" si="4"/>
        <v>0.375</v>
      </c>
      <c r="O48" s="176"/>
      <c r="P48" s="176"/>
    </row>
    <row r="49" spans="1:16" x14ac:dyDescent="0.2">
      <c r="A49" s="176" t="s">
        <v>402</v>
      </c>
      <c r="B49" s="176" t="str">
        <f t="shared" si="9"/>
        <v>11</v>
      </c>
      <c r="C49" s="176" t="str">
        <f>+MID(VLOOKUP(A49,'Actividades de control'!$B$13:$C$176,2,0),5,LEN(VLOOKUP(A49,'Actividades de control'!$B$13:$C$176,2,0))-5)</f>
        <v xml:space="preserve"> Se cuenta con información de la 3a línea de defensa, como evaluador independiente en relación con los controles implementados por el proveedor de servicios, para  asegurar que los riesgos relacionados se mitigan.</v>
      </c>
      <c r="D49" s="176" t="s">
        <v>327</v>
      </c>
      <c r="E49" s="176" t="str">
        <f>+VLOOKUP(A49,'Actividades de control'!$B$18:$K$122,3,0)</f>
        <v>Dimension Control Interno
Tercera Linea de Defensa</v>
      </c>
      <c r="F49" s="176" t="str">
        <f>+VLOOKUP(A49,'Actividades de control'!$B$18:$K$122,10,0)</f>
        <v>Deficiencia de control (diseño o ejecución)</v>
      </c>
      <c r="G49" s="176">
        <f>+VLOOKUP(A49,'Actividades de control'!$B$13:$N$176,13,0)</f>
        <v>184.01230000000001</v>
      </c>
      <c r="H49" s="178">
        <f t="shared" si="3"/>
        <v>48</v>
      </c>
      <c r="I49" s="176" t="str">
        <f t="shared" si="8"/>
        <v>Cuando en el análisis de los requerimientos en los diferenes componentes del MECI se cuente con aspectos evaluados en nivel 1 (presente) y 1 (funcionando); 2 (presente) y 1 (funcionando).</v>
      </c>
      <c r="J49" s="176" t="s">
        <v>399</v>
      </c>
      <c r="K49" s="176">
        <f>+IF(ISBLANK(VLOOKUP(A49,'Actividades de control'!$B$21:$F$122,5,0)),"",VLOOKUP(A49,'Actividades de control'!$B$21:$F$122,5,0))</f>
        <v>3</v>
      </c>
      <c r="L49" s="176">
        <f>+IF(ISBLANK(VLOOKUP(A49,'Actividades de control'!$B$21:$J$122,9,0)),"",VLOOKUP(A49,'Actividades de control'!$B$21:$J$122,9,0))</f>
        <v>2</v>
      </c>
      <c r="M49" s="176">
        <f t="shared" si="5"/>
        <v>0.5</v>
      </c>
      <c r="N49" s="176">
        <f t="shared" si="4"/>
        <v>0.375</v>
      </c>
      <c r="O49" s="176"/>
      <c r="P49" s="176"/>
    </row>
    <row r="50" spans="1:16" x14ac:dyDescent="0.2">
      <c r="A50" s="176" t="s">
        <v>403</v>
      </c>
      <c r="B50" s="176" t="str">
        <f t="shared" si="9"/>
        <v>12</v>
      </c>
      <c r="C50" s="176" t="str">
        <f>+MID(VLOOKUP(A50,'Actividades de control'!$B$13:$C$176,2,0),5,LEN(VLOOKUP(A50,'Actividades de control'!$B$13:$C$176,2,0))-5)</f>
        <v xml:space="preserve"> Se evalúa la actualización de procesos, procedimientos, políticas de operación, instructivos, manuales u otras herramientas para garantizar la aplicación adecuada de las principales actividades de control.
</v>
      </c>
      <c r="D50" s="176" t="s">
        <v>327</v>
      </c>
      <c r="E50" s="176" t="str">
        <f>+VLOOKUP(A50,'Actividades de control'!$B$18:$K$122,3,0)</f>
        <v>Dimension de Gestion con Valores para el Resultado
Politica de Fortalecimiento Organizacional y Simplificacion de Procesos.</v>
      </c>
      <c r="F50" s="176" t="str">
        <f>+VLOOKUP(A50,'Actividades de control'!$B$18:$K$122,10,0)</f>
        <v>Deficiencia de control (diseño o ejecución)</v>
      </c>
      <c r="G50" s="176">
        <f>+VLOOKUP(A50,'Actividades de control'!$B$13:$N$176,13,0)</f>
        <v>184.12360000000001</v>
      </c>
      <c r="H50" s="178">
        <f t="shared" si="3"/>
        <v>49</v>
      </c>
      <c r="I50" s="176" t="str">
        <f t="shared" si="8"/>
        <v>Cuando en el análisis de los requerimientos en los diferenes componentes del MECI se cuente con aspectos evaluados en nivel 1 (presente) y 1 (funcionando); 2 (presente) y 1 (funcionando).</v>
      </c>
      <c r="J50" s="176" t="s">
        <v>404</v>
      </c>
      <c r="K50" s="176">
        <f>+IF(ISBLANK(VLOOKUP(A50,'Actividades de control'!$B$21:$F$122,5,0)),"",VLOOKUP(A50,'Actividades de control'!$B$21:$F$122,5,0))</f>
        <v>3</v>
      </c>
      <c r="L50" s="176">
        <f>+IF(ISBLANK(VLOOKUP(A50,'Actividades de control'!$B$21:$J$122,9,0)),"",VLOOKUP(A50,'Actividades de control'!$B$21:$J$122,9,0))</f>
        <v>2</v>
      </c>
      <c r="M50" s="176">
        <f t="shared" si="5"/>
        <v>0.5</v>
      </c>
      <c r="N50" s="176">
        <f t="shared" si="4"/>
        <v>0.375</v>
      </c>
      <c r="O50" s="176"/>
      <c r="P50" s="176"/>
    </row>
    <row r="51" spans="1:16" x14ac:dyDescent="0.2">
      <c r="A51" s="176" t="s">
        <v>405</v>
      </c>
      <c r="B51" s="176" t="str">
        <f t="shared" si="9"/>
        <v>12</v>
      </c>
      <c r="C51" s="176" t="str">
        <f>+MID(VLOOKUP(A51,'Actividades de control'!$B$13:$C$176,2,0),6,LEN(VLOOKUP(A51,'Actividades de control'!$B$13:$C$176,2,0))-6)</f>
        <v xml:space="preserve"> El diseño de controles se evalúa frente a la gestión del riesgo</v>
      </c>
      <c r="D51" s="176" t="s">
        <v>327</v>
      </c>
      <c r="E51" s="176" t="str">
        <f>+VLOOKUP(A51,'Actividades de control'!$B$18:$K$122,3,0)</f>
        <v xml:space="preserve">Todas las Dimensiones de MIPG 
</v>
      </c>
      <c r="F51" s="176" t="str">
        <f>+VLOOKUP(A51,'Actividades de control'!$B$18:$K$122,10,0)</f>
        <v>Deficiencia de control (diseño o ejecución)</v>
      </c>
      <c r="G51" s="176">
        <f>+VLOOKUP(A51,'Actividades de control'!$B$13:$N$176,13,0)</f>
        <v>184.23650000000001</v>
      </c>
      <c r="H51" s="178">
        <f t="shared" si="3"/>
        <v>50</v>
      </c>
      <c r="I51" s="176" t="str">
        <f t="shared" si="8"/>
        <v>Cuando en el análisis de los requerimientos en los diferenes componentes del MECI se cuente con aspectos evaluados en nivel 1 (presente) y 1 (funcionando); 2 (presente) y 1 (funcionando).</v>
      </c>
      <c r="J51" s="176" t="s">
        <v>404</v>
      </c>
      <c r="K51" s="176">
        <f>+IF(ISBLANK(VLOOKUP(A51,'Actividades de control'!$B$21:$F$122,5,0)),"",VLOOKUP(A51,'Actividades de control'!$B$21:$F$122,5,0))</f>
        <v>3</v>
      </c>
      <c r="L51" s="176">
        <f>+IF(ISBLANK(VLOOKUP(A51,'Actividades de control'!$B$21:$J$122,9,0)),"",VLOOKUP(A51,'Actividades de control'!$B$21:$J$122,9,0))</f>
        <v>2</v>
      </c>
      <c r="M51" s="176">
        <f t="shared" si="5"/>
        <v>0.5</v>
      </c>
      <c r="N51" s="176">
        <f t="shared" si="4"/>
        <v>0.375</v>
      </c>
      <c r="O51" s="176"/>
      <c r="P51" s="176"/>
    </row>
    <row r="52" spans="1:16" x14ac:dyDescent="0.2">
      <c r="A52" s="176" t="s">
        <v>406</v>
      </c>
      <c r="B52" s="176" t="str">
        <f t="shared" si="9"/>
        <v>12</v>
      </c>
      <c r="C52" s="176" t="str">
        <f>+MID(VLOOKUP(A52,'Actividades de control'!$B$13:$C$176,2,0),6,LEN(VLOOKUP(A52,'Actividades de control'!$B$13:$C$176,2,0))-6)</f>
        <v xml:space="preserve"> Monitoreo a los riesgos acorde con la política de administración de riesgo establecida para la entidad.</v>
      </c>
      <c r="D52" s="176" t="s">
        <v>327</v>
      </c>
      <c r="E52" s="176" t="str">
        <f>+VLOOKUP(A52,'Actividades de control'!$B$18:$K$122,3,0)</f>
        <v>Dimension de Direccionamiento Estrategico y Planeacion
Politica de Planeacion Institucional.</v>
      </c>
      <c r="F52" s="176" t="str">
        <f>+VLOOKUP(A52,'Actividades de control'!$B$18:$K$122,10,0)</f>
        <v>Deficiencia de control (diseño o ejecución)</v>
      </c>
      <c r="G52" s="176">
        <f>+VLOOKUP(A52,'Actividades de control'!$B$13:$N$176,13,0)</f>
        <v>184.23656</v>
      </c>
      <c r="H52" s="178">
        <f t="shared" si="3"/>
        <v>51</v>
      </c>
      <c r="I52" s="176" t="str">
        <f t="shared" si="8"/>
        <v>Cuando en el análisis de los requerimientos en los diferenes componentes del MECI se cuente con aspectos evaluados en nivel 1 (presente) y 1 (funcionando); 2 (presente) y 1 (funcionando).</v>
      </c>
      <c r="J52" s="176" t="s">
        <v>404</v>
      </c>
      <c r="K52" s="176">
        <f>+IF(ISBLANK(VLOOKUP(A52,'Actividades de control'!$B$21:$F$122,5,0)),"",VLOOKUP(A52,'Actividades de control'!$B$21:$F$122,5,0))</f>
        <v>3</v>
      </c>
      <c r="L52" s="176">
        <f>+IF(ISBLANK(VLOOKUP(A52,'Actividades de control'!$B$21:$J$122,9,0)),"",VLOOKUP(A52,'Actividades de control'!$B$21:$J$122,9,0))</f>
        <v>2</v>
      </c>
      <c r="M52" s="176">
        <f t="shared" si="5"/>
        <v>0.5</v>
      </c>
      <c r="N52" s="176">
        <f t="shared" si="4"/>
        <v>0.375</v>
      </c>
      <c r="O52" s="176"/>
      <c r="P52" s="176"/>
    </row>
    <row r="53" spans="1:16" x14ac:dyDescent="0.2">
      <c r="A53" s="176" t="s">
        <v>407</v>
      </c>
      <c r="B53" s="176" t="str">
        <f t="shared" si="9"/>
        <v>12</v>
      </c>
      <c r="C53" s="176" t="str">
        <f>+MID(VLOOKUP(A53,'Actividades de control'!$B$13:$C$176,2,0),6,LEN(VLOOKUP(A53,'Actividades de control'!$B$13:$C$176,2,0))-6)</f>
        <v>Verificación de que los responsables estén ejecutando los controles tal como han sido diseñados</v>
      </c>
      <c r="D53" s="176" t="s">
        <v>327</v>
      </c>
      <c r="E53" s="176" t="str">
        <f>+VLOOKUP(A53,'Actividades de control'!$B$18:$K$122,3,0)</f>
        <v>Dimension Control Interno
Segunda Linea de Defensa</v>
      </c>
      <c r="F53" s="176" t="str">
        <f>+VLOOKUP(A53,'Actividades de control'!$B$18:$K$122,10,0)</f>
        <v>Deficiencia de control (diseño o ejecución)</v>
      </c>
      <c r="G53" s="176">
        <f>+VLOOKUP(A53,'Actividades de control'!$B$13:$N$176,13,0)</f>
        <v>184.23656800000001</v>
      </c>
      <c r="H53" s="178">
        <f t="shared" ref="H53" si="10">+_xlfn.RANK.EQ(G53,$G$2:$G$82,1)</f>
        <v>52</v>
      </c>
      <c r="I53" s="176" t="str">
        <f t="shared" si="8"/>
        <v>Cuando en el análisis de los requerimientos en los diferenes componentes del MECI se cuente con aspectos evaluados en nivel 1 (presente) y 1 (funcionando); 2 (presente) y 1 (funcionando).</v>
      </c>
      <c r="J53" s="176" t="s">
        <v>404</v>
      </c>
      <c r="K53" s="176">
        <f>+IF(ISBLANK(VLOOKUP(A53,'Actividades de control'!$B$21:$F$122,5,0)),"",VLOOKUP(A53,'Actividades de control'!$B$21:$F$122,5,0))</f>
        <v>3</v>
      </c>
      <c r="L53" s="176">
        <f>+IF(ISBLANK(VLOOKUP(A53,'Actividades de control'!$B$21:$J$122,9,0)),"",VLOOKUP(A53,'Actividades de control'!$B$21:$J$122,9,0))</f>
        <v>2</v>
      </c>
      <c r="M53" s="176">
        <f t="shared" si="5"/>
        <v>0.5</v>
      </c>
      <c r="N53" s="176">
        <f t="shared" ref="N53" si="11">+AVERAGEIF($D$2:$D$82,D53,$M$2:$M$82)</f>
        <v>0.375</v>
      </c>
      <c r="O53" s="176"/>
      <c r="P53" s="176"/>
    </row>
    <row r="54" spans="1:16" x14ac:dyDescent="0.2">
      <c r="A54" s="176" t="s">
        <v>408</v>
      </c>
      <c r="B54" s="176" t="str">
        <f t="shared" si="9"/>
        <v>12</v>
      </c>
      <c r="C54" s="176" t="str">
        <f>+MID(VLOOKUP(A54,'Actividades de control'!$B$13:$C$176,2,0),6,LEN(VLOOKUP(A54,'Actividades de control'!$B$13:$C$176,2,0))-6)</f>
        <v xml:space="preserve"> Se evalúa la adecuación de los controles a las especificidades de cada proceso, considerando cambios en regulaciones, estructuras internas u otros aspectos que determinen cambios en su diseño</v>
      </c>
      <c r="D54" s="176" t="s">
        <v>327</v>
      </c>
      <c r="E54" s="176" t="str">
        <f>+VLOOKUP(A54,'Actividades de control'!$B$18:$K$122,3,0)</f>
        <v>Dimension Control Interno
 Lineas de Defensa</v>
      </c>
      <c r="F54" s="176" t="str">
        <f>+VLOOKUP(A54,'Actividades de control'!$B$18:$K$122,10,0)</f>
        <v>Deficiencia de control (diseño o ejecución)</v>
      </c>
      <c r="G54" s="176">
        <f>+VLOOKUP(A54,'Actividades de control'!$B$13:$N$176,13,0)</f>
        <v>184.3569</v>
      </c>
      <c r="H54" s="178">
        <f t="shared" ref="H54" si="12">+_xlfn.RANK.EQ(G54,$G$2:$G$82,1)</f>
        <v>53</v>
      </c>
      <c r="I54" s="176" t="str">
        <f t="shared" si="8"/>
        <v>Cuando en el análisis de los requerimientos en los diferenes componentes del MECI se cuente con aspectos evaluados en nivel 1 (presente) y 1 (funcionando); 2 (presente) y 1 (funcionando).</v>
      </c>
      <c r="J54" s="176" t="s">
        <v>404</v>
      </c>
      <c r="K54" s="176">
        <f>+IF(ISBLANK(VLOOKUP(A54,'Actividades de control'!$B$21:$F$122,5,0)),"",VLOOKUP(A54,'Actividades de control'!$B$21:$F$122,5,0))</f>
        <v>2</v>
      </c>
      <c r="L54" s="176">
        <f>+IF(ISBLANK(VLOOKUP(A54,'Actividades de control'!$B$21:$J$122,9,0)),"",VLOOKUP(A54,'Actividades de control'!$B$21:$J$122,9,0))</f>
        <v>2</v>
      </c>
      <c r="M54" s="176">
        <f t="shared" si="5"/>
        <v>0.5</v>
      </c>
      <c r="N54" s="176">
        <f t="shared" ref="N54" si="13">+AVERAGEIF($D$2:$D$82,D54,$M$2:$M$82)</f>
        <v>0.375</v>
      </c>
      <c r="O54" s="176"/>
      <c r="P54" s="176"/>
    </row>
    <row r="55" spans="1:16" ht="12.75" customHeight="1" x14ac:dyDescent="0.2">
      <c r="A55" s="176" t="s">
        <v>409</v>
      </c>
      <c r="B55" s="176" t="str">
        <f t="shared" si="9"/>
        <v>13</v>
      </c>
      <c r="C55" s="176" t="str">
        <f>+MID(VLOOKUP(A55,'Info y Comunicación'!$B$13:$C$160,2,0),6,LEN(VLOOKUP(A55,'Info y Comunicación'!$B$13:$C$160,2,0))-6)</f>
        <v>La entidad ha diseñado sistemas de información para capturar y procesar datos y transformarlos en información para alcanzar los requerimientos de información definidos</v>
      </c>
      <c r="D55" s="176" t="s">
        <v>410</v>
      </c>
      <c r="E55" s="176" t="str">
        <f>+VLOOKUP(A55,'Info y Comunicación'!$B$15:$K$138,3,0)</f>
        <v xml:space="preserve">Dimension de Informacion y comunicación 
</v>
      </c>
      <c r="F55" s="176" t="str">
        <f>+VLOOKUP(A55,'Info y Comunicación'!$B$15:$K$138,10,0)</f>
        <v>Deficiencia de control (diseño o ejecución)</v>
      </c>
      <c r="G55" s="176">
        <f>+VLOOKUP(A55,'Info y Comunicación'!$B$13:$N$160,13,0)</f>
        <v>264.45690000000002</v>
      </c>
      <c r="H55" s="178">
        <f t="shared" si="3"/>
        <v>57</v>
      </c>
      <c r="I55" s="176" t="str">
        <f t="shared" si="8"/>
        <v>Cuando en el análisis de los requerimientos en los diferenes componentes del MECI se cuente con aspectos evaluados en nivel 1 (presente) y 1 (funcionando); 2 (presente) y 1 (funcionando).</v>
      </c>
      <c r="J55" s="176" t="s">
        <v>411</v>
      </c>
      <c r="K55" s="176">
        <f>+IF(ISBLANK(VLOOKUP(A55,'Info y Comunicación'!$B$19:$F$138,5,0)),"",VLOOKUP(A55,'Info y Comunicación'!$B$19:$F$138,5,0))</f>
        <v>3</v>
      </c>
      <c r="L55" s="176">
        <f>+IF(ISBLANK(VLOOKUP(A55,'Info y Comunicación'!$B$19:$J$138,9,0)),"",VLOOKUP(A55,'Info y Comunicación'!$B$19:$J$138,9,0))</f>
        <v>2</v>
      </c>
      <c r="M55" s="176">
        <f t="shared" si="5"/>
        <v>0.5</v>
      </c>
      <c r="N55" s="176">
        <f>+AVERAGEIF($D$2:$D$82,D55,$M$2:$M$82)</f>
        <v>0.4642857142857143</v>
      </c>
      <c r="O55" s="176"/>
      <c r="P55" s="176"/>
    </row>
    <row r="56" spans="1:16" ht="12.75" customHeight="1" x14ac:dyDescent="0.2">
      <c r="A56" s="176" t="s">
        <v>412</v>
      </c>
      <c r="B56" s="176" t="str">
        <f t="shared" si="9"/>
        <v>13</v>
      </c>
      <c r="C56" s="176" t="str">
        <f>+MID(VLOOKUP(A56,'Info y Comunicación'!$B$13:$C$160,2,0),6,LEN(VLOOKUP(A56,'Info y Comunicación'!$B$13:$C$160,2,0))-6)</f>
        <v xml:space="preserve"> La entidad cuenta con el inventario de información relevante (interno/externa) y cuenta con un mecanismo que permita su actualización</v>
      </c>
      <c r="D56" s="176" t="s">
        <v>410</v>
      </c>
      <c r="E56" s="176" t="str">
        <f>+VLOOKUP(A56,'Info y Comunicación'!$B$15:$K$138,3,0)</f>
        <v>Dimension de Informacion y comunicación 
Politica de Transparencia y Acceso a la Informaciòn Publica</v>
      </c>
      <c r="F56" s="176" t="str">
        <f>+VLOOKUP(A56,'Info y Comunicación'!$B$15:$K$138,10,0)</f>
        <v>Deficiencia de control mayor (diseño y ejecución)</v>
      </c>
      <c r="G56" s="176">
        <f>+VLOOKUP(A56,'Info y Comunicación'!$B$13:$N$160,13,0)</f>
        <v>244.56319999999999</v>
      </c>
      <c r="H56" s="178">
        <f t="shared" si="3"/>
        <v>54</v>
      </c>
      <c r="I56" s="176" t="str">
        <f t="shared" si="8"/>
        <v>Cuando en el análisis de los requerimientos en los diferenes componentes del MECI se cuente con aspectos evaluados en nivel 2 (presente) y 3 (funcionando).</v>
      </c>
      <c r="J56" s="176" t="s">
        <v>411</v>
      </c>
      <c r="K56" s="176">
        <f>+IF(ISBLANK(VLOOKUP(A56,'Info y Comunicación'!$B$19:$F$138,5,0)),"",VLOOKUP(A56,'Info y Comunicación'!$B$19:$F$138,5,0))</f>
        <v>1</v>
      </c>
      <c r="L56" s="176">
        <f>+IF(ISBLANK(VLOOKUP(A56,'Info y Comunicación'!$B$19:$J$138,9,0)),"",VLOOKUP(A56,'Info y Comunicación'!$B$19:$J$138,9,0))</f>
        <v>1</v>
      </c>
      <c r="M56" s="176">
        <f t="shared" si="5"/>
        <v>0</v>
      </c>
      <c r="N56" s="176">
        <f t="shared" si="4"/>
        <v>0.4642857142857143</v>
      </c>
      <c r="O56" s="176"/>
      <c r="P56" s="176"/>
    </row>
    <row r="57" spans="1:16" ht="12.75" customHeight="1" x14ac:dyDescent="0.2">
      <c r="A57" s="176" t="s">
        <v>413</v>
      </c>
      <c r="B57" s="176" t="str">
        <f t="shared" si="9"/>
        <v>13</v>
      </c>
      <c r="C57" s="176" t="str">
        <f>+MID(VLOOKUP(A57,'Info y Comunicación'!$B$13:$C$160,2,0),6,LEN(VLOOKUP(A57,'Info y Comunicación'!$B$13:$C$160,2,0))-6)</f>
        <v>La entidad considera un ámbito amplio de fuentes de datos (internas y externas), para la captura y procesamiento posterior de información clave para la consecución de metas y objetivos</v>
      </c>
      <c r="D57" s="176" t="s">
        <v>410</v>
      </c>
      <c r="E57" s="176" t="str">
        <f>+VLOOKUP(A57,'Info y Comunicación'!$B$15:$K$138,3,0)</f>
        <v>Dimension de Informacion y comunicación 
Politica de Transparencia y Acceso a la Informaciòn Publica</v>
      </c>
      <c r="F57" s="176" t="str">
        <f>+VLOOKUP(A57,'Info y Comunicación'!$B$15:$K$138,10,0)</f>
        <v>Deficiencia de control (diseño o ejecución)</v>
      </c>
      <c r="G57" s="176">
        <f>+VLOOKUP(A57,'Info y Comunicación'!$B$13:$N$160,13,0)</f>
        <v>264.63209999999998</v>
      </c>
      <c r="H57" s="178">
        <f t="shared" si="3"/>
        <v>58</v>
      </c>
      <c r="I57" s="176" t="str">
        <f t="shared" si="8"/>
        <v>Cuando en el análisis de los requerimientos en los diferenes componentes del MECI se cuente con aspectos evaluados en nivel 1 (presente) y 1 (funcionando); 2 (presente) y 1 (funcionando).</v>
      </c>
      <c r="J57" s="176" t="s">
        <v>411</v>
      </c>
      <c r="K57" s="176">
        <f>+IF(ISBLANK(VLOOKUP(A57,'Info y Comunicación'!$B$19:$F$138,5,0)),"",VLOOKUP(A57,'Info y Comunicación'!$B$19:$F$138,5,0))</f>
        <v>2</v>
      </c>
      <c r="L57" s="176">
        <f>+IF(ISBLANK(VLOOKUP(A57,'Info y Comunicación'!$B$19:$J$138,9,0)),"",VLOOKUP(A57,'Info y Comunicación'!$B$19:$J$138,9,0))</f>
        <v>2</v>
      </c>
      <c r="M57" s="176">
        <f t="shared" si="5"/>
        <v>0.5</v>
      </c>
      <c r="N57" s="176">
        <f t="shared" si="4"/>
        <v>0.4642857142857143</v>
      </c>
      <c r="O57" s="176"/>
      <c r="P57" s="176"/>
    </row>
    <row r="58" spans="1:16" ht="12.75" customHeight="1" x14ac:dyDescent="0.2">
      <c r="A58" s="176" t="s">
        <v>414</v>
      </c>
      <c r="B58" s="176" t="str">
        <f t="shared" si="9"/>
        <v>13</v>
      </c>
      <c r="C58" s="176" t="str">
        <f>+MID(VLOOKUP(A58,'Info y Comunicación'!$B$13:$C$160,2,0),6,LEN(VLOOKUP(A58,'Info y Comunicación'!$B$13:$C$160,2,0))-6)</f>
        <v>La entidad ha desarrollado e implementado actividades de control sobre la integridad, confidencialidad y disponibilidad de los datos e información definidos como relevantes</v>
      </c>
      <c r="D58" s="176" t="s">
        <v>410</v>
      </c>
      <c r="E58" s="176" t="str">
        <f>+VLOOKUP(A58,'Info y Comunicación'!$B$15:$K$138,3,0)</f>
        <v>Dimension de Informacion y comunicación 
Politica de Transparencia y Acceso a la Informaciòn Publica</v>
      </c>
      <c r="F58" s="176" t="str">
        <f>+VLOOKUP(A58,'Info y Comunicación'!$B$15:$K$138,10,0)</f>
        <v>Deficiencia de control (diseño o ejecución)</v>
      </c>
      <c r="G58" s="176">
        <f>+VLOOKUP(A58,'Info y Comunicación'!$B$13:$N$160,13,0)</f>
        <v>264.78960000000001</v>
      </c>
      <c r="H58" s="178">
        <f t="shared" si="3"/>
        <v>59</v>
      </c>
      <c r="I58" s="176" t="str">
        <f t="shared" si="8"/>
        <v>Cuando en el análisis de los requerimientos en los diferenes componentes del MECI se cuente con aspectos evaluados en nivel 1 (presente) y 1 (funcionando); 2 (presente) y 1 (funcionando).</v>
      </c>
      <c r="J58" s="176" t="s">
        <v>411</v>
      </c>
      <c r="K58" s="176">
        <f>+IF(ISBLANK(VLOOKUP(A58,'Info y Comunicación'!$B$19:$F$138,5,0)),"",VLOOKUP(A58,'Info y Comunicación'!$B$19:$F$138,5,0))</f>
        <v>2</v>
      </c>
      <c r="L58" s="176">
        <f>+IF(ISBLANK(VLOOKUP(A58,'Info y Comunicación'!$B$19:$J$138,9,0)),"",VLOOKUP(A58,'Info y Comunicación'!$B$19:$J$138,9,0))</f>
        <v>1</v>
      </c>
      <c r="M58" s="176">
        <f t="shared" si="5"/>
        <v>0.5</v>
      </c>
      <c r="N58" s="176">
        <f t="shared" si="4"/>
        <v>0.4642857142857143</v>
      </c>
      <c r="O58" s="176"/>
      <c r="P58" s="176"/>
    </row>
    <row r="59" spans="1:16" ht="12.75" customHeight="1" x14ac:dyDescent="0.2">
      <c r="A59" s="176" t="s">
        <v>415</v>
      </c>
      <c r="B59" s="176" t="str">
        <f t="shared" si="9"/>
        <v>14</v>
      </c>
      <c r="C59" s="176" t="str">
        <f>+MID(VLOOKUP(A59,'Info y Comunicación'!$B$13:$C$160,2,0),6,LEN(VLOOKUP(A59,'Info y Comunicación'!$B$13:$C$160,2,0))-6)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176" t="s">
        <v>410</v>
      </c>
      <c r="E59" s="176" t="str">
        <f>+VLOOKUP(A59,'Info y Comunicación'!$B$15:$K$138,3,0)</f>
        <v xml:space="preserve">Dimension de Informacion y comunicación
</v>
      </c>
      <c r="F59" s="176" t="str">
        <f>+VLOOKUP(A59,'Info y Comunicación'!$B$15:$K$138,10,0)</f>
        <v>Deficiencia de control (diseño o ejecución)</v>
      </c>
      <c r="G59" s="176">
        <f>+VLOOKUP(A59,'Info y Comunicación'!$B$13:$N$160,13,0)</f>
        <v>264.8965</v>
      </c>
      <c r="H59" s="178">
        <f t="shared" si="3"/>
        <v>60</v>
      </c>
      <c r="I59" s="176" t="str">
        <f t="shared" si="8"/>
        <v>Cuando en el análisis de los requerimientos en los diferenes componentes del MECI se cuente con aspectos evaluados en nivel 1 (presente) y 1 (funcionando); 2 (presente) y 1 (funcionando).</v>
      </c>
      <c r="J59" s="176" t="s">
        <v>416</v>
      </c>
      <c r="K59" s="176">
        <f>+IF(ISBLANK(VLOOKUP(A59,'Info y Comunicación'!$B$19:$F$138,5,0)),"",VLOOKUP(A59,'Info y Comunicación'!$B$19:$F$138,5,0))</f>
        <v>3</v>
      </c>
      <c r="L59" s="176">
        <f>+IF(ISBLANK(VLOOKUP(A59,'Info y Comunicación'!$B$19:$J$138,9,0)),"",VLOOKUP(A59,'Info y Comunicación'!$B$19:$J$138,9,0))</f>
        <v>2</v>
      </c>
      <c r="M59" s="176">
        <f t="shared" si="5"/>
        <v>0.5</v>
      </c>
      <c r="N59" s="176">
        <f t="shared" si="4"/>
        <v>0.4642857142857143</v>
      </c>
      <c r="O59" s="176"/>
      <c r="P59" s="176"/>
    </row>
    <row r="60" spans="1:16" ht="12.75" customHeight="1" x14ac:dyDescent="0.2">
      <c r="A60" s="176" t="s">
        <v>417</v>
      </c>
      <c r="B60" s="176" t="str">
        <f t="shared" si="9"/>
        <v>14</v>
      </c>
      <c r="C60" s="176" t="str">
        <f>+MID(VLOOKUP(A60,'Info y Comunicación'!$B$13:$C$160,2,0),6,LEN(VLOOKUP(A60,'Info y Comunicación'!$B$13:$C$160,2,0))-6)</f>
        <v>La entidad cuenta con políticas de operación relacionadas con la administración de la información (niveles de autoridad y responsabilidad</v>
      </c>
      <c r="D60" s="176" t="s">
        <v>410</v>
      </c>
      <c r="E60" s="176" t="str">
        <f>+VLOOKUP(A60,'Info y Comunicación'!$B$15:$K$138,3,0)</f>
        <v xml:space="preserve">Dimension de Informacion y comunicación
</v>
      </c>
      <c r="F60" s="176" t="str">
        <f>+VLOOKUP(A60,'Info y Comunicación'!$B$15:$K$138,10,0)</f>
        <v>Deficiencia de control (diseño o ejecución)</v>
      </c>
      <c r="G60" s="176">
        <f>+VLOOKUP(A60,'Info y Comunicación'!$B$13:$N$160,13,0)</f>
        <v>264.98540000000003</v>
      </c>
      <c r="H60" s="178">
        <f t="shared" si="3"/>
        <v>61</v>
      </c>
      <c r="I60" s="176" t="str">
        <f t="shared" si="8"/>
        <v>Cuando en el análisis de los requerimientos en los diferenes componentes del MECI se cuente con aspectos evaluados en nivel 1 (presente) y 1 (funcionando); 2 (presente) y 1 (funcionando).</v>
      </c>
      <c r="J60" s="176" t="s">
        <v>416</v>
      </c>
      <c r="K60" s="176">
        <f>+IF(ISBLANK(VLOOKUP(A60,'Info y Comunicación'!$B$19:$F$138,5,0)),"",VLOOKUP(A60,'Info y Comunicación'!$B$19:$F$138,5,0))</f>
        <v>2</v>
      </c>
      <c r="L60" s="176">
        <f>+IF(ISBLANK(VLOOKUP(A60,'Info y Comunicación'!$B$19:$J$138,9,0)),"",VLOOKUP(A60,'Info y Comunicación'!$B$19:$J$138,9,0))</f>
        <v>2</v>
      </c>
      <c r="M60" s="176">
        <f t="shared" si="5"/>
        <v>0.5</v>
      </c>
      <c r="N60" s="176">
        <f t="shared" si="4"/>
        <v>0.4642857142857143</v>
      </c>
      <c r="O60" s="176"/>
      <c r="P60" s="176"/>
    </row>
    <row r="61" spans="1:16" ht="12.75" customHeight="1" x14ac:dyDescent="0.2">
      <c r="A61" s="176" t="s">
        <v>418</v>
      </c>
      <c r="B61" s="176" t="str">
        <f t="shared" si="9"/>
        <v>14</v>
      </c>
      <c r="C61" s="176" t="str">
        <f>+MID(VLOOKUP(A61,'Info y Comunicación'!$B$13:$C$160,2,0),6,LEN(VLOOKUP(A61,'Info y Comunicación'!$B$13:$C$160,2,0))-6)</f>
        <v>La entidad cuenta con canales de información internos para la denuncia anónima o confidencial de posibles situaciones irregulares y se cuenta con mecanismos específicos para su manejo, de manera tal que generen la confianza para utilizarlos</v>
      </c>
      <c r="D61" s="176" t="s">
        <v>410</v>
      </c>
      <c r="E61" s="176" t="str">
        <f>+VLOOKUP(A61,'Info y Comunicación'!$B$15:$K$138,3,0)</f>
        <v xml:space="preserve">Dimension de Informacion y comunicación
</v>
      </c>
      <c r="F61" s="176" t="str">
        <f>+VLOOKUP(A61,'Info y Comunicación'!$B$15:$K$138,10,0)</f>
        <v>Mantenimiento del control</v>
      </c>
      <c r="G61" s="176">
        <f>+VLOOKUP(A61,'Info y Comunicación'!$B$13:$N$160,13,0)</f>
        <v>305.01229999999998</v>
      </c>
      <c r="H61" s="178">
        <f t="shared" si="3"/>
        <v>66</v>
      </c>
      <c r="I61" s="176" t="str">
        <f t="shared" si="8"/>
        <v>Cuando en el análisis de los requerimientos en los diferenes componentes del MECI se cuente con aspectos evaluados en nivel 2 (presente) y 2 (funcionando); 3 (presente) y 1 (funcionando); 3 (presente) y 2 (funcionando).</v>
      </c>
      <c r="J61" s="176" t="s">
        <v>416</v>
      </c>
      <c r="K61" s="176">
        <f>+IF(ISBLANK(VLOOKUP(A61,'Info y Comunicación'!$B$19:$F$138,5,0)),"",VLOOKUP(A61,'Info y Comunicación'!$B$19:$F$138,5,0))</f>
        <v>3</v>
      </c>
      <c r="L61" s="176">
        <f>+IF(ISBLANK(VLOOKUP(A61,'Info y Comunicación'!$B$19:$J$138,9,0)),"",VLOOKUP(A61,'Info y Comunicación'!$B$19:$J$138,9,0))</f>
        <v>3</v>
      </c>
      <c r="M61" s="176">
        <f t="shared" si="5"/>
        <v>1</v>
      </c>
      <c r="N61" s="176">
        <f t="shared" si="4"/>
        <v>0.4642857142857143</v>
      </c>
      <c r="O61" s="176"/>
      <c r="P61" s="176"/>
    </row>
    <row r="62" spans="1:16" ht="12.75" customHeight="1" x14ac:dyDescent="0.2">
      <c r="A62" s="176" t="s">
        <v>419</v>
      </c>
      <c r="B62" s="176" t="str">
        <f t="shared" si="9"/>
        <v>14</v>
      </c>
      <c r="C62" s="176" t="str">
        <f>+MID(VLOOKUP(A62,'Info y Comunicación'!$B$13:$C$160,2,0),6,LEN(VLOOKUP(A62,'Info y Comunicación'!$B$13:$C$160,2,0))-6)</f>
        <v>La entidad establece e implementa políticas y procedimientos para facilitar una comunicación interna efectiva</v>
      </c>
      <c r="D62" s="176" t="s">
        <v>410</v>
      </c>
      <c r="E62" s="176" t="str">
        <f>+VLOOKUP(A62,'Info y Comunicación'!$B$15:$K$138,3,0)</f>
        <v xml:space="preserve">Dimension de Informacion y comunicación
</v>
      </c>
      <c r="F62" s="176" t="str">
        <f>+VLOOKUP(A62,'Info y Comunicación'!$B$15:$K$138,10,0)</f>
        <v>Deficiencia de control (diseño o ejecución)</v>
      </c>
      <c r="G62" s="176">
        <f>+VLOOKUP(A62,'Info y Comunicación'!$B$13:$N$160,13,0)</f>
        <v>265.12360000000001</v>
      </c>
      <c r="H62" s="178">
        <f t="shared" si="3"/>
        <v>62</v>
      </c>
      <c r="I62" s="176" t="str">
        <f t="shared" si="8"/>
        <v>Cuando en el análisis de los requerimientos en los diferenes componentes del MECI se cuente con aspectos evaluados en nivel 1 (presente) y 1 (funcionando); 2 (presente) y 1 (funcionando).</v>
      </c>
      <c r="J62" s="176" t="s">
        <v>416</v>
      </c>
      <c r="K62" s="176">
        <f>+IF(ISBLANK(VLOOKUP(A62,'Info y Comunicación'!$B$19:$F$138,5,0)),"",VLOOKUP(A62,'Info y Comunicación'!$B$19:$F$138,5,0))</f>
        <v>3</v>
      </c>
      <c r="L62" s="176">
        <f>+IF(ISBLANK(VLOOKUP(A62,'Info y Comunicación'!$B$19:$J$138,9,0)),"",VLOOKUP(A62,'Info y Comunicación'!$B$19:$J$138,9,0))</f>
        <v>2</v>
      </c>
      <c r="M62" s="176">
        <f t="shared" si="5"/>
        <v>0.5</v>
      </c>
      <c r="N62" s="176">
        <f t="shared" si="4"/>
        <v>0.4642857142857143</v>
      </c>
      <c r="O62" s="176"/>
      <c r="P62" s="176"/>
    </row>
    <row r="63" spans="1:16" ht="12.75" customHeight="1" x14ac:dyDescent="0.2">
      <c r="A63" s="176" t="s">
        <v>420</v>
      </c>
      <c r="B63" s="176" t="str">
        <f t="shared" si="9"/>
        <v>15</v>
      </c>
      <c r="C63" s="176" t="str">
        <f>+MID(VLOOKUP(A63,'Info y Comunicación'!$B$13:$C$160,2,0),6,LEN(VLOOKUP(A63,'Info y Comunicación'!$B$13:$C$160,2,0))-6)</f>
        <v>La entidad desarrolla e implementa controles que facilitan la comunicación externa, la cual incluye  políticas y procedimientos. 
Incluye contratistas y proveedores de servicios tercerizados (cuando aplique).</v>
      </c>
      <c r="D63" s="176" t="s">
        <v>410</v>
      </c>
      <c r="E63" s="176" t="str">
        <f>+VLOOKUP(A63,'Info y Comunicación'!$B$15:$K$138,3,0)</f>
        <v xml:space="preserve">
Dimension de Informacion y Comunicación
Dimension de Control Interno
Primera Linea de Defensa</v>
      </c>
      <c r="F63" s="176" t="str">
        <f>+VLOOKUP(A63,'Info y Comunicación'!$B$15:$K$138,10,0)</f>
        <v>Deficiencia de control (diseño o ejecución)</v>
      </c>
      <c r="G63" s="176">
        <f>+VLOOKUP(A63,'Info y Comunicación'!$B$13:$N$160,13,0)</f>
        <v>265.23689999999999</v>
      </c>
      <c r="H63" s="178">
        <f t="shared" si="3"/>
        <v>63</v>
      </c>
      <c r="I63" s="176" t="str">
        <f t="shared" si="8"/>
        <v>Cuando en el análisis de los requerimientos en los diferenes componentes del MECI se cuente con aspectos evaluados en nivel 1 (presente) y 1 (funcionando); 2 (presente) y 1 (funcionando).</v>
      </c>
      <c r="J63" s="176" t="s">
        <v>421</v>
      </c>
      <c r="K63" s="176">
        <f>+IF(ISBLANK(VLOOKUP(A63,'Info y Comunicación'!$B$19:$F$138,5,0)),"",VLOOKUP(A63,'Info y Comunicación'!$B$19:$F$138,5,0))</f>
        <v>2</v>
      </c>
      <c r="L63" s="176">
        <f>+IF(ISBLANK(VLOOKUP(A63,'Info y Comunicación'!$B$19:$J$138,9,0)),"",VLOOKUP(A63,'Info y Comunicación'!$B$19:$J$138,9,0))</f>
        <v>1</v>
      </c>
      <c r="M63" s="176">
        <f t="shared" si="5"/>
        <v>0.5</v>
      </c>
      <c r="N63" s="176">
        <f t="shared" si="4"/>
        <v>0.4642857142857143</v>
      </c>
      <c r="O63" s="176"/>
      <c r="P63" s="176"/>
    </row>
    <row r="64" spans="1:16" x14ac:dyDescent="0.2">
      <c r="A64" s="176" t="s">
        <v>422</v>
      </c>
      <c r="B64" s="176" t="str">
        <f t="shared" si="9"/>
        <v>15</v>
      </c>
      <c r="C64" s="176" t="str">
        <f>+MID(VLOOKUP(A64,'Info y Comunicación'!$B$13:$C$160,2,0),6,LEN(VLOOKUP(A64,'Info y Comunicación'!$B$13:$C$160,2,0))-6)</f>
        <v>La entidad cuenta con canales externos definidos de comunicación, asociados con el tipo de información a divulgar, y éstos son reconocidos a todo nivel de la organización.</v>
      </c>
      <c r="D64" s="176" t="s">
        <v>410</v>
      </c>
      <c r="E64" s="176" t="str">
        <f>+VLOOKUP(A64,'Info y Comunicación'!$B$15:$K$138,3,0)</f>
        <v xml:space="preserve">Dimension de Informacion y Comunicación
Politica de Transparencia, acceso a la información pública y lucha
contra la corrupción </v>
      </c>
      <c r="F64" s="176" t="str">
        <f>+VLOOKUP(A64,'Info y Comunicación'!$B$15:$K$138,10,0)</f>
        <v>Mantenimiento del control</v>
      </c>
      <c r="G64" s="176">
        <f>+VLOOKUP(A64,'Info y Comunicación'!$B$13:$N$160,13,0)</f>
        <v>305.36540000000002</v>
      </c>
      <c r="H64" s="178">
        <f t="shared" si="3"/>
        <v>67</v>
      </c>
      <c r="I64" s="176" t="str">
        <f t="shared" si="8"/>
        <v>Cuando en el análisis de los requerimientos en los diferenes componentes del MECI se cuente con aspectos evaluados en nivel 2 (presente) y 2 (funcionando); 3 (presente) y 1 (funcionando); 3 (presente) y 2 (funcionando).</v>
      </c>
      <c r="J64" s="176" t="s">
        <v>421</v>
      </c>
      <c r="K64" s="176">
        <f>+IF(ISBLANK(VLOOKUP(A64,'Info y Comunicación'!$B$19:$F$138,5,0)),"",VLOOKUP(A64,'Info y Comunicación'!$B$19:$F$138,5,0))</f>
        <v>3</v>
      </c>
      <c r="L64" s="176">
        <f>+IF(ISBLANK(VLOOKUP(A64,'Info y Comunicación'!$B$19:$J$138,9,0)),"",VLOOKUP(A64,'Info y Comunicación'!$B$19:$J$138,9,0))</f>
        <v>3</v>
      </c>
      <c r="M64" s="176">
        <f t="shared" si="5"/>
        <v>1</v>
      </c>
      <c r="N64" s="176">
        <f t="shared" si="4"/>
        <v>0.4642857142857143</v>
      </c>
      <c r="O64" s="176"/>
      <c r="P64" s="176"/>
    </row>
    <row r="65" spans="1:16" x14ac:dyDescent="0.2">
      <c r="A65" s="176" t="s">
        <v>423</v>
      </c>
      <c r="B65" s="176" t="str">
        <f t="shared" si="9"/>
        <v>15</v>
      </c>
      <c r="C65" s="176" t="str">
        <f>+MID(VLOOKUP(A65,'Info y Comunicación'!$B$13:$C$160,2,0),6,LEN(VLOOKUP(A65,'Info y Comunicación'!$B$13:$C$160,2,0))-6)</f>
        <v>La entidad cuenta con procesos o procedimiento para el manejo de la información entrante (quién la recibe, quién la clasifica, quién la analiza), y a la respuesta requierida (quién la canaliza y la responde)</v>
      </c>
      <c r="D65" s="176" t="s">
        <v>410</v>
      </c>
      <c r="E65" s="176" t="str">
        <f>+VLOOKUP(A65,'Info y Comunicación'!$B$15:$K$138,3,0)</f>
        <v xml:space="preserve">Dimension de Informacion y Comunicación
Politica de Gestion Documental
Politica de Transparencia, acceso a la información pública y lucha
contra la corrupción </v>
      </c>
      <c r="F65" s="176" t="str">
        <f>+VLOOKUP(A65,'Info y Comunicación'!$B$15:$K$138,10,0)</f>
        <v>Deficiencia de control (diseño o ejecución)</v>
      </c>
      <c r="G65" s="176">
        <f>+VLOOKUP(A65,'Info y Comunicación'!$B$13:$N$160,13,0)</f>
        <v>265.4563</v>
      </c>
      <c r="H65" s="178">
        <f t="shared" si="3"/>
        <v>64</v>
      </c>
      <c r="I65" s="176" t="str">
        <f t="shared" si="8"/>
        <v>Cuando en el análisis de los requerimientos en los diferenes componentes del MECI se cuente con aspectos evaluados en nivel 1 (presente) y 1 (funcionando); 2 (presente) y 1 (funcionando).</v>
      </c>
      <c r="J65" s="176" t="s">
        <v>421</v>
      </c>
      <c r="K65" s="176">
        <f>+IF(ISBLANK(VLOOKUP(A65,'Info y Comunicación'!$B$19:$F$138,5,0)),"",VLOOKUP(A65,'Info y Comunicación'!$B$19:$F$138,5,0))</f>
        <v>3</v>
      </c>
      <c r="L65" s="176">
        <f>+IF(ISBLANK(VLOOKUP(A65,'Info y Comunicación'!$B$19:$J$138,9,0)),"",VLOOKUP(A65,'Info y Comunicación'!$B$19:$J$138,9,0))</f>
        <v>2</v>
      </c>
      <c r="M65" s="176">
        <f t="shared" si="5"/>
        <v>0.5</v>
      </c>
      <c r="N65" s="176">
        <f t="shared" si="4"/>
        <v>0.4642857142857143</v>
      </c>
      <c r="O65" s="176"/>
      <c r="P65" s="176"/>
    </row>
    <row r="66" spans="1:16" x14ac:dyDescent="0.2">
      <c r="A66" s="176" t="s">
        <v>424</v>
      </c>
      <c r="B66" s="176" t="str">
        <f t="shared" si="9"/>
        <v>15</v>
      </c>
      <c r="C66" s="176" t="str">
        <f>+MID(VLOOKUP(A66,'Info y Comunicación'!$B$13:$C$160,2,0),6,LEN(VLOOKUP(A66,'Info y Comunicación'!$B$13:$C$160,2,0))-6)</f>
        <v>La entidad cuenta con procesos o procedimientos encaminados a evaluar periodicamente la efectividad de los canales de comunicación con partes externas, así como sus contenidos, de tal forma que se puedan mejorar.</v>
      </c>
      <c r="D66" s="176" t="s">
        <v>410</v>
      </c>
      <c r="E66" s="176" t="str">
        <f>+VLOOKUP(A66,'Info y Comunicación'!$B$15:$K$138,3,0)</f>
        <v>Dimension de Informacion y Comunicación
Politica deControl Interno
Lineas de Defensa</v>
      </c>
      <c r="F66" s="176" t="str">
        <f>+VLOOKUP(A66,'Info y Comunicación'!$B$15:$K$138,10,0)</f>
        <v>Deficiencia de control (diseño o ejecución)</v>
      </c>
      <c r="G66" s="176">
        <f>+VLOOKUP(A66,'Info y Comunicación'!$B$13:$N$160,13,0)</f>
        <v>265.56319999999999</v>
      </c>
      <c r="H66" s="178">
        <f t="shared" si="3"/>
        <v>65</v>
      </c>
      <c r="I66" s="176" t="str">
        <f t="shared" ref="I66:I82" si="14">+IF(F66=$F$2,$P$4,IF(F66=$F$3,$P$2,$P$3))</f>
        <v>Cuando en el análisis de los requerimientos en los diferenes componentes del MECI se cuente con aspectos evaluados en nivel 1 (presente) y 1 (funcionando); 2 (presente) y 1 (funcionando).</v>
      </c>
      <c r="J66" s="176" t="s">
        <v>421</v>
      </c>
      <c r="K66" s="176">
        <f>+IF(ISBLANK(VLOOKUP(A66,'Info y Comunicación'!$B$19:$F$138,5,0)),"",VLOOKUP(A66,'Info y Comunicación'!$B$19:$F$138,5,0))</f>
        <v>2</v>
      </c>
      <c r="L66" s="176">
        <f>+IF(ISBLANK(VLOOKUP(A66,'Info y Comunicación'!$B$19:$J$138,9,0)),"",VLOOKUP(A66,'Info y Comunicación'!$B$19:$J$138,9,0))</f>
        <v>2</v>
      </c>
      <c r="M66" s="176">
        <f t="shared" si="5"/>
        <v>0.5</v>
      </c>
      <c r="N66" s="176">
        <f t="shared" si="4"/>
        <v>0.4642857142857143</v>
      </c>
      <c r="O66" s="176"/>
      <c r="P66" s="176"/>
    </row>
    <row r="67" spans="1:16" x14ac:dyDescent="0.2">
      <c r="A67" s="176" t="s">
        <v>425</v>
      </c>
      <c r="B67" s="176" t="str">
        <f t="shared" si="9"/>
        <v>15</v>
      </c>
      <c r="C67" s="176" t="str">
        <f>+MID(VLOOKUP(A67,'Info y Comunicación'!$B$13:$C$160,2,0),6,LEN(VLOOKUP(A67,'Info y Comunicación'!$B$13:$C$160,2,0))-6)</f>
        <v>La entidad analiza periodicamente su caracterización de usuarios o grupos de valor, a fin de actualizarla cuando sea pertinente</v>
      </c>
      <c r="D67" s="176" t="s">
        <v>410</v>
      </c>
      <c r="E67" s="176" t="str">
        <f>+VLOOKUP(A67,'Info y Comunicación'!$B$15:$K$138,3,0)</f>
        <v>Dimension de Direccionamiento Estrategico y Planeaciòn
Politica de Planeacion Institucional</v>
      </c>
      <c r="F67" s="176" t="str">
        <f>+VLOOKUP(A67,'Info y Comunicación'!$B$15:$K$138,10,0)</f>
        <v>Deficiencia de control mayor (diseño y ejecución)</v>
      </c>
      <c r="G67" s="176">
        <f>+VLOOKUP(A67,'Info y Comunicación'!$B$13:$N$160,13,0)</f>
        <v>245.63210000000001</v>
      </c>
      <c r="H67" s="178">
        <f t="shared" si="3"/>
        <v>55</v>
      </c>
      <c r="I67" s="176" t="str">
        <f t="shared" si="14"/>
        <v>Cuando en el análisis de los requerimientos en los diferenes componentes del MECI se cuente con aspectos evaluados en nivel 2 (presente) y 3 (funcionando).</v>
      </c>
      <c r="J67" s="176" t="s">
        <v>421</v>
      </c>
      <c r="K67" s="176">
        <f>+IF(ISBLANK(VLOOKUP(A67,'Info y Comunicación'!$B$19:$F$138,5,0)),"",VLOOKUP(A67,'Info y Comunicación'!$B$19:$F$138,5,0))</f>
        <v>1</v>
      </c>
      <c r="L67" s="176">
        <f>+IF(ISBLANK(VLOOKUP(A67,'Info y Comunicación'!$B$19:$J$138,9,0)),"",VLOOKUP(A67,'Info y Comunicación'!$B$19:$J$138,9,0))</f>
        <v>1</v>
      </c>
      <c r="M67" s="176">
        <f t="shared" si="5"/>
        <v>0</v>
      </c>
      <c r="N67" s="176">
        <f t="shared" si="4"/>
        <v>0.4642857142857143</v>
      </c>
      <c r="O67" s="176"/>
      <c r="P67" s="176"/>
    </row>
    <row r="68" spans="1:16" x14ac:dyDescent="0.2">
      <c r="A68" s="176" t="s">
        <v>426</v>
      </c>
      <c r="B68" s="176" t="str">
        <f t="shared" si="9"/>
        <v>15</v>
      </c>
      <c r="C68" s="176" t="str">
        <f>+MID(VLOOKUP(A68,'Info y Comunicación'!$B$13:$C$160,2,0),6,LEN(VLOOKUP(A68,'Info y Comunicación'!$B$13:$C$160,2,0))-6)</f>
        <v>La entidad analiza periodicamente los resultados frente a la evaluación de percepción por parte de los usuarios o grupos de valor para la incorporación de las mejoras correspondientes</v>
      </c>
      <c r="D68" s="176" t="s">
        <v>410</v>
      </c>
      <c r="E68" s="176" t="str">
        <f>+VLOOKUP(A68,'Info y Comunicación'!$B$15:$K$138,3,0)</f>
        <v>Dimension de Direccionamiento Estrategico y Planeaciòn
Politica de Planeacion Institucional</v>
      </c>
      <c r="F68" s="176" t="str">
        <f>+VLOOKUP(A68,'Info y Comunicación'!$B$15:$K$138,10,0)</f>
        <v>Deficiencia de control mayor (diseño y ejecución)</v>
      </c>
      <c r="G68" s="176">
        <f>+VLOOKUP(A68,'Info y Comunicación'!$B$13:$N$160,13,0)</f>
        <v>245.78960000000001</v>
      </c>
      <c r="H68" s="178">
        <f t="shared" si="3"/>
        <v>56</v>
      </c>
      <c r="I68" s="176" t="str">
        <f t="shared" si="14"/>
        <v>Cuando en el análisis de los requerimientos en los diferenes componentes del MECI se cuente con aspectos evaluados en nivel 2 (presente) y 3 (funcionando).</v>
      </c>
      <c r="J68" s="176" t="s">
        <v>421</v>
      </c>
      <c r="K68" s="176">
        <f>+IF(ISBLANK(VLOOKUP(A68,'Info y Comunicación'!$B$19:$F$138,5,0)),"",VLOOKUP(A68,'Info y Comunicación'!$B$19:$F$138,5,0))</f>
        <v>1</v>
      </c>
      <c r="L68" s="176">
        <f>+IF(ISBLANK(VLOOKUP(A68,'Info y Comunicación'!$B$19:$J$138,9,0)),"",VLOOKUP(A68,'Info y Comunicación'!$B$19:$J$138,9,0))</f>
        <v>1</v>
      </c>
      <c r="M68" s="176">
        <f t="shared" ref="M68:M82" si="15">+IF(OR(AND(K68=1,L68=1),AND(ISBLANK(K68),ISBLANK(L68)),K68="",L68=""),0,IF(OR(AND(K68=1,L68=2),AND(K68=1,L68=3)),0.25,IF(OR(AND(K68=2,L68=2),AND(K68=3,L68=1),AND(K68=3,L68=2),AND(K68=2,L68=1)),0.5,IF(AND(K68=2,L68=3),0.75,1))))</f>
        <v>0</v>
      </c>
      <c r="N68" s="176">
        <f t="shared" si="4"/>
        <v>0.4642857142857143</v>
      </c>
      <c r="O68" s="176"/>
      <c r="P68" s="176"/>
    </row>
    <row r="69" spans="1:16" x14ac:dyDescent="0.2">
      <c r="A69" s="176" t="s">
        <v>427</v>
      </c>
      <c r="B69" s="176" t="str">
        <f t="shared" si="9"/>
        <v>16</v>
      </c>
      <c r="C69" s="176" t="str">
        <f>+MID(VLOOKUP(A69,'Actividades de Monitoreo'!$B$13:$C$176,2,0),6,LEN(VLOOKUP(A69,'Actividades de Monitoreo'!$B$13:$C$176,2,0))-6)</f>
        <v>El comité Institucional de Coordinación de Control Interno aprueba anualmente el Plan Anual de Auditoría presentado por parte del Jefe de Control Interno o quien haga sus veces y hace el correspondiente seguimiento a sus ejecución</v>
      </c>
      <c r="D69" s="176" t="s">
        <v>428</v>
      </c>
      <c r="E69" s="176" t="str">
        <f>+VLOOKUP(A69,'Actividades de Monitoreo'!$B$17:$K$134,3,0)</f>
        <v>Dimension de Control Interno
Lineas Estrategica</v>
      </c>
      <c r="F69" s="176" t="str">
        <f>+VLOOKUP(A69,'Actividades de Monitoreo'!$B$17:$K$134,10,0)</f>
        <v>Mantenimiento del control</v>
      </c>
      <c r="G69" s="176">
        <f>+VLOOKUP(A69,'Actividades de Monitoreo'!$B$13:$N$176,13,0)</f>
        <v>385.87450000000001</v>
      </c>
      <c r="H69" s="178">
        <f t="shared" si="3"/>
        <v>78</v>
      </c>
      <c r="I69" s="176" t="str">
        <f t="shared" si="14"/>
        <v>Cuando en el análisis de los requerimientos en los diferenes componentes del MECI se cuente con aspectos evaluados en nivel 2 (presente) y 2 (funcionando); 3 (presente) y 1 (funcionando); 3 (presente) y 2 (funcionando).</v>
      </c>
      <c r="J69" s="176" t="s">
        <v>429</v>
      </c>
      <c r="K69" s="176">
        <f>+IF(ISBLANK(VLOOKUP(A69,'Actividades de Monitoreo'!$B$20:$F$134,5,0)),"",VLOOKUP(A69,'Actividades de Monitoreo'!$B$20:$F$134,5,0))</f>
        <v>3</v>
      </c>
      <c r="L69" s="176">
        <f>+IF(ISBLANK(VLOOKUP(A69,'Actividades de Monitoreo'!$B$20:$J$134,9,0)),"",VLOOKUP(A69,'Actividades de Monitoreo'!$B$20:$J$134,9,0))</f>
        <v>3</v>
      </c>
      <c r="M69" s="176">
        <f t="shared" si="15"/>
        <v>1</v>
      </c>
      <c r="N69" s="176">
        <f t="shared" si="4"/>
        <v>0.6428571428571429</v>
      </c>
      <c r="O69" s="176"/>
      <c r="P69" s="176"/>
    </row>
    <row r="70" spans="1:16" x14ac:dyDescent="0.2">
      <c r="A70" s="176" t="s">
        <v>430</v>
      </c>
      <c r="B70" s="176" t="str">
        <f t="shared" si="9"/>
        <v>16</v>
      </c>
      <c r="C70" s="176" t="str">
        <f>+MID(VLOOKUP(A70,'Actividades de Monitoreo'!$B$13:$C$176,2,0),6,LEN(VLOOKUP(A70,'Actividades de Monitoreo'!$B$13:$C$176,2,0))-6)</f>
        <v xml:space="preserve"> La Alta Dirección periódicamente evalúa los resultados de las evaluaciones (contínuas e independientes)  para concluir acerca de la efectividad del Sistema de Control Intern</v>
      </c>
      <c r="D70" s="176" t="s">
        <v>428</v>
      </c>
      <c r="E70" s="176" t="str">
        <f>+VLOOKUP(A70,'Actividades de Monitoreo'!$B$17:$K$134,3,0)</f>
        <v>Dimension de Control Interno
Lineas Estrategica</v>
      </c>
      <c r="F70" s="176" t="str">
        <f>+VLOOKUP(A70,'Actividades de Monitoreo'!$B$17:$K$134,10,0)</f>
        <v>Deficiencia de control (diseño o ejecución)</v>
      </c>
      <c r="G70" s="176">
        <f>+VLOOKUP(A70,'Actividades de Monitoreo'!$B$13:$N$176,13,0)</f>
        <v>345.96539999999999</v>
      </c>
      <c r="H70" s="178">
        <f t="shared" si="3"/>
        <v>68</v>
      </c>
      <c r="I70" s="176" t="str">
        <f t="shared" si="14"/>
        <v>Cuando en el análisis de los requerimientos en los diferenes componentes del MECI se cuente con aspectos evaluados en nivel 1 (presente) y 1 (funcionando); 2 (presente) y 1 (funcionando).</v>
      </c>
      <c r="J70" s="176" t="s">
        <v>429</v>
      </c>
      <c r="K70" s="176">
        <f>+IF(ISBLANK(VLOOKUP(A70,'Actividades de Monitoreo'!$B$20:$F$134,5,0)),"",VLOOKUP(A70,'Actividades de Monitoreo'!$B$20:$F$134,5,0))</f>
        <v>2</v>
      </c>
      <c r="L70" s="176">
        <f>+IF(ISBLANK(VLOOKUP(A70,'Actividades de Monitoreo'!$B$20:$J$134,9,0)),"",VLOOKUP(A70,'Actividades de Monitoreo'!$B$20:$J$134,9,0))</f>
        <v>2</v>
      </c>
      <c r="M70" s="176">
        <f t="shared" si="15"/>
        <v>0.5</v>
      </c>
      <c r="N70" s="176">
        <f t="shared" si="4"/>
        <v>0.6428571428571429</v>
      </c>
      <c r="O70" s="176"/>
      <c r="P70" s="176"/>
    </row>
    <row r="71" spans="1:16" x14ac:dyDescent="0.2">
      <c r="A71" s="176" t="s">
        <v>431</v>
      </c>
      <c r="B71" s="176" t="str">
        <f t="shared" si="9"/>
        <v>16</v>
      </c>
      <c r="C71" s="176" t="str">
        <f>+MID(VLOOKUP(A71,'Actividades de Monitoreo'!$B$13:$C$176,2,0),6,LEN(VLOOKUP(A71,'Actividades de Monitoreo'!$B$13:$C$176,2,0))-6)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176" t="s">
        <v>428</v>
      </c>
      <c r="E71" s="176" t="str">
        <f>+VLOOKUP(A71,'Actividades de Monitoreo'!$B$17:$K$134,3,0)</f>
        <v>Dimension de Control Interno
Tercera Linea de Defensa</v>
      </c>
      <c r="F71" s="176" t="str">
        <f>+VLOOKUP(A71,'Actividades de Monitoreo'!$B$17:$K$134,10,0)</f>
        <v>Mantenimiento del control</v>
      </c>
      <c r="G71" s="176">
        <f>+VLOOKUP(A71,'Actividades de Monitoreo'!$B$13:$N$176,13,0)</f>
        <v>386.01229999999998</v>
      </c>
      <c r="H71" s="178">
        <f t="shared" ref="H71:H82" si="16">+_xlfn.RANK.EQ(G71,$G$2:$G$82,1)</f>
        <v>79</v>
      </c>
      <c r="I71" s="176" t="str">
        <f t="shared" si="14"/>
        <v>Cuando en el análisis de los requerimientos en los diferenes componentes del MECI se cuente con aspectos evaluados en nivel 2 (presente) y 2 (funcionando); 3 (presente) y 1 (funcionando); 3 (presente) y 2 (funcionando).</v>
      </c>
      <c r="J71" s="176" t="s">
        <v>429</v>
      </c>
      <c r="K71" s="176">
        <f>+IF(ISBLANK(VLOOKUP(A71,'Actividades de Monitoreo'!$B$20:$F$134,5,0)),"",VLOOKUP(A71,'Actividades de Monitoreo'!$B$20:$F$134,5,0))</f>
        <v>3</v>
      </c>
      <c r="L71" s="176">
        <f>+IF(ISBLANK(VLOOKUP(A71,'Actividades de Monitoreo'!$B$20:$J$134,9,0)),"",VLOOKUP(A71,'Actividades de Monitoreo'!$B$20:$J$134,9,0))</f>
        <v>3</v>
      </c>
      <c r="M71" s="176">
        <f t="shared" si="15"/>
        <v>1</v>
      </c>
      <c r="N71" s="176">
        <f t="shared" ref="N71:N82" si="17">+AVERAGEIF($D$2:$D$82,D71,$M$2:$M$82)</f>
        <v>0.6428571428571429</v>
      </c>
      <c r="O71" s="176"/>
      <c r="P71" s="176"/>
    </row>
    <row r="72" spans="1:16" x14ac:dyDescent="0.2">
      <c r="A72" s="176" t="s">
        <v>432</v>
      </c>
      <c r="B72" s="176" t="str">
        <f t="shared" si="9"/>
        <v>16</v>
      </c>
      <c r="C72" s="176" t="str">
        <f>+MID(VLOOKUP(A72,'Actividades de Monitoreo'!$B$13:$C$176,2,0),6,LEN(VLOOKUP(A72,'Actividades de Monitoreo'!$B$13:$C$176,2,0))-6)</f>
        <v>Acorde con el Esquema de Líneas de Defensa se han implementado procedimientos de monitoreo continuo como parte de las actividades de la 2a línea de defensa, a fin de contar con información clave para la toma de decisiones</v>
      </c>
      <c r="D72" s="176" t="s">
        <v>428</v>
      </c>
      <c r="E72" s="176" t="str">
        <f>+VLOOKUP(A72,'Actividades de Monitoreo'!$B$17:$K$134,3,0)</f>
        <v>Dimension de Control Interno
Segunda Linea de Defensa</v>
      </c>
      <c r="F72" s="176" t="str">
        <f>+VLOOKUP(A72,'Actividades de Monitoreo'!$B$17:$K$134,10,0)</f>
        <v>Deficiencia de control (diseño o ejecución)</v>
      </c>
      <c r="G72" s="176">
        <f>+VLOOKUP(A72,'Actividades de Monitoreo'!$B$13:$N$176,13,0)</f>
        <v>346.12360000000001</v>
      </c>
      <c r="H72" s="178">
        <f t="shared" si="16"/>
        <v>69</v>
      </c>
      <c r="I72" s="176" t="str">
        <f t="shared" si="14"/>
        <v>Cuando en el análisis de los requerimientos en los diferenes componentes del MECI se cuente con aspectos evaluados en nivel 1 (presente) y 1 (funcionando); 2 (presente) y 1 (funcionando).</v>
      </c>
      <c r="J72" s="176" t="s">
        <v>429</v>
      </c>
      <c r="K72" s="176">
        <f>+IF(ISBLANK(VLOOKUP(A72,'Actividades de Monitoreo'!$B$20:$F$134,5,0)),"",VLOOKUP(A72,'Actividades de Monitoreo'!$B$20:$F$134,5,0))</f>
        <v>2</v>
      </c>
      <c r="L72" s="176">
        <f>+IF(ISBLANK(VLOOKUP(A72,'Actividades de Monitoreo'!$B$20:$J$134,9,0)),"",VLOOKUP(A72,'Actividades de Monitoreo'!$B$20:$J$134,9,0))</f>
        <v>2</v>
      </c>
      <c r="M72" s="176">
        <f t="shared" si="15"/>
        <v>0.5</v>
      </c>
      <c r="N72" s="176">
        <f t="shared" si="17"/>
        <v>0.6428571428571429</v>
      </c>
      <c r="O72" s="176"/>
      <c r="P72" s="176"/>
    </row>
    <row r="73" spans="1:16" x14ac:dyDescent="0.2">
      <c r="A73" s="176" t="s">
        <v>433</v>
      </c>
      <c r="B73" s="176" t="str">
        <f t="shared" si="9"/>
        <v>16</v>
      </c>
      <c r="C73" s="176" t="str">
        <f>+MID(VLOOKUP(A73,'Actividades de Monitoreo'!$B$13:$C$176,2,0),6,LEN(VLOOKUP(A73,'Actividades de Monitoreo'!$B$13:$C$176,2,0))-6)</f>
        <v>Frente a las evaluaciones independientes la entidad considera evaluaciones externas de organismos de control, de vigilancia, certificadores, ONG´s u otros que permitan tener una mirada independiente de las operaciones</v>
      </c>
      <c r="D73" s="176" t="s">
        <v>428</v>
      </c>
      <c r="E73" s="176" t="str">
        <f>+VLOOKUP(A73,'Actividades de Monitoreo'!$B$17:$K$134,3,0)</f>
        <v>Dimension de Control Interno
Lineas de Defensa</v>
      </c>
      <c r="F73" s="176" t="str">
        <f>+VLOOKUP(A73,'Actividades de Monitoreo'!$B$17:$K$134,10,0)</f>
        <v>Mantenimiento del control</v>
      </c>
      <c r="G73" s="176">
        <f>+VLOOKUP(A73,'Actividades de Monitoreo'!$B$13:$N$176,13,0)</f>
        <v>386.21359999999999</v>
      </c>
      <c r="H73" s="178">
        <f t="shared" si="16"/>
        <v>80</v>
      </c>
      <c r="I73" s="176" t="str">
        <f t="shared" si="14"/>
        <v>Cuando en el análisis de los requerimientos en los diferenes componentes del MECI se cuente con aspectos evaluados en nivel 2 (presente) y 2 (funcionando); 3 (presente) y 1 (funcionando); 3 (presente) y 2 (funcionando).</v>
      </c>
      <c r="J73" s="176" t="s">
        <v>429</v>
      </c>
      <c r="K73" s="176">
        <f>+IF(ISBLANK(VLOOKUP(A73,'Actividades de Monitoreo'!$B$20:$F$134,5,0)),"",VLOOKUP(A73,'Actividades de Monitoreo'!$B$20:$F$134,5,0))</f>
        <v>3</v>
      </c>
      <c r="L73" s="176">
        <f>+IF(ISBLANK(VLOOKUP(A73,'Actividades de Monitoreo'!$B$20:$J$134,9,0)),"",VLOOKUP(A73,'Actividades de Monitoreo'!$B$20:$J$134,9,0))</f>
        <v>3</v>
      </c>
      <c r="M73" s="176">
        <f t="shared" si="15"/>
        <v>1</v>
      </c>
      <c r="N73" s="176">
        <f t="shared" si="17"/>
        <v>0.6428571428571429</v>
      </c>
      <c r="O73" s="176"/>
      <c r="P73" s="176"/>
    </row>
    <row r="74" spans="1:16" x14ac:dyDescent="0.2">
      <c r="A74" s="176" t="s">
        <v>434</v>
      </c>
      <c r="B74" s="176" t="str">
        <f t="shared" si="9"/>
        <v>17</v>
      </c>
      <c r="C74" s="176" t="str">
        <f>+MID(VLOOKUP(A74,'Actividades de Monitoreo'!$B$13:$C$176,2,0),6,LEN(VLOOKUP(A74,'Actividades de Monitoreo'!$B$13:$C$176,2,0))-6)</f>
        <v>A partir de la información de las evaluaciones independientes, se evalúan para determinar su efecto en el Sistema de Control Interno de la entidad y su impacto en el logro de los objetivos, a fin de determinar cursos de acción para su mejora</v>
      </c>
      <c r="D74" s="176" t="s">
        <v>428</v>
      </c>
      <c r="E74" s="176" t="str">
        <f>+VLOOKUP(A74,'Actividades de Monitoreo'!$B$17:$K$134,3,0)</f>
        <v>Dimension de Control Interno
Lineas de Defensa</v>
      </c>
      <c r="F74" s="176" t="str">
        <f>+VLOOKUP(A74,'Actividades de Monitoreo'!$B$17:$K$134,10,0)</f>
        <v>Deficiencia de control (diseño o ejecución)</v>
      </c>
      <c r="G74" s="176">
        <f>+VLOOKUP(A74,'Actividades de Monitoreo'!$B$13:$N$176,13,0)</f>
        <v>346.32580000000002</v>
      </c>
      <c r="H74" s="178">
        <f t="shared" si="16"/>
        <v>70</v>
      </c>
      <c r="I74" s="176" t="str">
        <f t="shared" si="14"/>
        <v>Cuando en el análisis de los requerimientos en los diferenes componentes del MECI se cuente con aspectos evaluados en nivel 1 (presente) y 1 (funcionando); 2 (presente) y 1 (funcionando).</v>
      </c>
      <c r="J74" s="176" t="s">
        <v>435</v>
      </c>
      <c r="K74" s="176">
        <f>+IF(ISBLANK(VLOOKUP(A74,'Actividades de Monitoreo'!$B$20:$F$134,5,0)),"",VLOOKUP(A74,'Actividades de Monitoreo'!$B$20:$F$134,5,0))</f>
        <v>3</v>
      </c>
      <c r="L74" s="176">
        <f>+IF(ISBLANK(VLOOKUP(A74,'Actividades de Monitoreo'!$B$20:$J$134,9,0)),"",VLOOKUP(A74,'Actividades de Monitoreo'!$B$20:$J$134,9,0))</f>
        <v>2</v>
      </c>
      <c r="M74" s="176">
        <f t="shared" si="15"/>
        <v>0.5</v>
      </c>
      <c r="N74" s="176">
        <f t="shared" si="17"/>
        <v>0.6428571428571429</v>
      </c>
      <c r="O74" s="176"/>
      <c r="P74" s="176"/>
    </row>
    <row r="75" spans="1:16" x14ac:dyDescent="0.2">
      <c r="A75" s="176" t="s">
        <v>436</v>
      </c>
      <c r="B75" s="176" t="str">
        <f t="shared" si="9"/>
        <v>17</v>
      </c>
      <c r="C75" s="176" t="str">
        <f>+MID(VLOOKUP(A75,'Actividades de Monitoreo'!$B$13:$C$176,2,0),6,LEN(VLOOKUP(A75,'Actividades de Monitoreo'!$B$13:$C$176,2,0))-6)</f>
        <v>Los informes recibidos de entes externos (organismos de control, auditores externos, entidades de vigilancia entre otros) se consolidan y se concluye sobre el impacto en el Sistema de Control Interno, a fin de determinar los cursos de acción</v>
      </c>
      <c r="D75" s="176" t="s">
        <v>428</v>
      </c>
      <c r="E75" s="176" t="str">
        <f>+VLOOKUP(A75,'Actividades de Monitoreo'!$B$17:$K$134,3,0)</f>
        <v>Dimension de Control Interno
Lineas de Defensa</v>
      </c>
      <c r="F75" s="176" t="str">
        <f>+VLOOKUP(A75,'Actividades de Monitoreo'!$B$17:$K$134,10,0)</f>
        <v>Deficiencia de control (diseño o ejecución)</v>
      </c>
      <c r="G75" s="176">
        <f>+VLOOKUP(A75,'Actividades de Monitoreo'!$B$13:$N$176,13,0)</f>
        <v>346.45690000000002</v>
      </c>
      <c r="H75" s="178">
        <f t="shared" si="16"/>
        <v>71</v>
      </c>
      <c r="I75" s="176" t="str">
        <f t="shared" si="14"/>
        <v>Cuando en el análisis de los requerimientos en los diferenes componentes del MECI se cuente con aspectos evaluados en nivel 1 (presente) y 1 (funcionando); 2 (presente) y 1 (funcionando).</v>
      </c>
      <c r="J75" s="176" t="s">
        <v>435</v>
      </c>
      <c r="K75" s="176">
        <f>+IF(ISBLANK(VLOOKUP(A75,'Actividades de Monitoreo'!$B$20:$F$134,5,0)),"",VLOOKUP(A75,'Actividades de Monitoreo'!$B$20:$F$134,5,0))</f>
        <v>2</v>
      </c>
      <c r="L75" s="176">
        <f>+IF(ISBLANK(VLOOKUP(A75,'Actividades de Monitoreo'!$B$20:$J$134,9,0)),"",VLOOKUP(A75,'Actividades de Monitoreo'!$B$20:$J$134,9,0))</f>
        <v>2</v>
      </c>
      <c r="M75" s="176">
        <f t="shared" si="15"/>
        <v>0.5</v>
      </c>
      <c r="N75" s="176">
        <f t="shared" si="17"/>
        <v>0.6428571428571429</v>
      </c>
      <c r="O75" s="176"/>
      <c r="P75" s="176"/>
    </row>
    <row r="76" spans="1:16" x14ac:dyDescent="0.2">
      <c r="A76" s="176" t="s">
        <v>437</v>
      </c>
      <c r="B76" s="176" t="str">
        <f t="shared" si="9"/>
        <v>17</v>
      </c>
      <c r="C76" s="176" t="str">
        <f>+MID(VLOOKUP(A76,'Actividades de Monitoreo'!$B$13:$C$176,2,0),6,LEN(VLOOKUP(A76,'Actividades de Monitoreo'!$B$13:$C$176,2,0))-6)</f>
        <v>La entidad cuenta con políticas donde se establezca a quién reportar las deficiencias de control interno como resultado del monitoreo continuo</v>
      </c>
      <c r="D76" s="176" t="s">
        <v>428</v>
      </c>
      <c r="E76" s="176" t="str">
        <f>+VLOOKUP(A76,'Actividades de Monitoreo'!$B$17:$K$134,3,0)</f>
        <v>Dimension de Control Interno
Lineas de Defensa</v>
      </c>
      <c r="F76" s="176" t="str">
        <f>+VLOOKUP(A76,'Actividades de Monitoreo'!$B$17:$K$134,10,0)</f>
        <v>Deficiencia de control (diseño o ejecución)</v>
      </c>
      <c r="G76" s="176">
        <f>+VLOOKUP(A76,'Actividades de Monitoreo'!$B$13:$N$176,13,0)</f>
        <v>346.56319999999999</v>
      </c>
      <c r="H76" s="178">
        <f t="shared" si="16"/>
        <v>72</v>
      </c>
      <c r="I76" s="176" t="str">
        <f t="shared" si="14"/>
        <v>Cuando en el análisis de los requerimientos en los diferenes componentes del MECI se cuente con aspectos evaluados en nivel 1 (presente) y 1 (funcionando); 2 (presente) y 1 (funcionando).</v>
      </c>
      <c r="J76" s="176" t="s">
        <v>435</v>
      </c>
      <c r="K76" s="176">
        <f>+IF(ISBLANK(VLOOKUP(A76,'Actividades de Monitoreo'!$B$20:$F$134,5,0)),"",VLOOKUP(A76,'Actividades de Monitoreo'!$B$20:$F$134,5,0))</f>
        <v>3</v>
      </c>
      <c r="L76" s="176">
        <f>+IF(ISBLANK(VLOOKUP(A76,'Actividades de Monitoreo'!$B$20:$J$134,9,0)),"",VLOOKUP(A76,'Actividades de Monitoreo'!$B$20:$J$134,9,0))</f>
        <v>2</v>
      </c>
      <c r="M76" s="176">
        <f t="shared" si="15"/>
        <v>0.5</v>
      </c>
      <c r="N76" s="176">
        <f t="shared" si="17"/>
        <v>0.6428571428571429</v>
      </c>
      <c r="O76" s="176"/>
      <c r="P76" s="176"/>
    </row>
    <row r="77" spans="1:16" x14ac:dyDescent="0.2">
      <c r="A77" s="176" t="s">
        <v>438</v>
      </c>
      <c r="B77" s="176" t="str">
        <f t="shared" si="9"/>
        <v>17</v>
      </c>
      <c r="C77" s="176" t="str">
        <f>+MID(VLOOKUP(A77,'Actividades de Monitoreo'!$B$13:$C$176,2,0),6,LEN(VLOOKUP(A77,'Actividades de Monitoreo'!$B$13:$C$176,2,0))-6)</f>
        <v>La Alta Dirección hace seguimiento a las acciones correctivas relacionadas con las deficiencias comunicadas sobre el Sistema de Control Interno y si se han cumplido en el tiempo establecido</v>
      </c>
      <c r="D77" s="176" t="s">
        <v>428</v>
      </c>
      <c r="E77" s="176" t="str">
        <f>+VLOOKUP(A77,'Actividades de Monitoreo'!$B$17:$K$134,3,0)</f>
        <v>Dimension de Control Interno
Lineas de Defensa</v>
      </c>
      <c r="F77" s="176" t="str">
        <f>+VLOOKUP(A77,'Actividades de Monitoreo'!$B$17:$K$134,10,0)</f>
        <v>Deficiencia de control (diseño o ejecución)</v>
      </c>
      <c r="G77" s="176">
        <f>+VLOOKUP(A77,'Actividades de Monitoreo'!$B$13:$N$176,13,0)</f>
        <v>346.78539999999998</v>
      </c>
      <c r="H77" s="178">
        <f t="shared" si="16"/>
        <v>73</v>
      </c>
      <c r="I77" s="176" t="str">
        <f t="shared" si="14"/>
        <v>Cuando en el análisis de los requerimientos en los diferenes componentes del MECI se cuente con aspectos evaluados en nivel 1 (presente) y 1 (funcionando); 2 (presente) y 1 (funcionando).</v>
      </c>
      <c r="J77" s="176" t="s">
        <v>435</v>
      </c>
      <c r="K77" s="176">
        <f>+IF(ISBLANK(VLOOKUP(A77,'Actividades de Monitoreo'!$B$20:$F$134,5,0)),"",VLOOKUP(A77,'Actividades de Monitoreo'!$B$20:$F$134,5,0))</f>
        <v>3</v>
      </c>
      <c r="L77" s="176">
        <f>+IF(ISBLANK(VLOOKUP(A77,'Actividades de Monitoreo'!$B$20:$J$134,9,0)),"",VLOOKUP(A77,'Actividades de Monitoreo'!$B$20:$J$134,9,0))</f>
        <v>2</v>
      </c>
      <c r="M77" s="176">
        <f t="shared" si="15"/>
        <v>0.5</v>
      </c>
      <c r="N77" s="176">
        <f t="shared" si="17"/>
        <v>0.6428571428571429</v>
      </c>
      <c r="O77" s="176"/>
      <c r="P77" s="176"/>
    </row>
    <row r="78" spans="1:16" x14ac:dyDescent="0.2">
      <c r="A78" s="176" t="s">
        <v>439</v>
      </c>
      <c r="B78" s="176" t="str">
        <f t="shared" si="9"/>
        <v>17</v>
      </c>
      <c r="C78" s="176" t="str">
        <f>+MID(VLOOKUP(A78,'Actividades de Monitoreo'!$B$13:$C$176,2,0),6,LEN(VLOOKUP(A78,'Actividades de Monitoreo'!$B$13:$C$176,2,0))-6)</f>
        <v>Los procesos y/o servicios tercerizados, son evaluados acorde con su nivel de riesgos</v>
      </c>
      <c r="D78" s="176" t="s">
        <v>428</v>
      </c>
      <c r="E78" s="176" t="str">
        <f>+VLOOKUP(A78,'Actividades de Monitoreo'!$B$17:$K$134,3,0)</f>
        <v>Dimension de Control Interno
Lineas de Defensa</v>
      </c>
      <c r="F78" s="176" t="str">
        <f>+VLOOKUP(A78,'Actividades de Monitoreo'!$B$17:$K$134,10,0)</f>
        <v>Mantenimiento del control</v>
      </c>
      <c r="G78" s="176">
        <f>+VLOOKUP(A78,'Actividades de Monitoreo'!$B$13:$N$176,13,0)</f>
        <v>386.87450000000001</v>
      </c>
      <c r="H78" s="178">
        <f t="shared" si="16"/>
        <v>81</v>
      </c>
      <c r="I78" s="176" t="str">
        <f t="shared" si="14"/>
        <v>Cuando en el análisis de los requerimientos en los diferenes componentes del MECI se cuente con aspectos evaluados en nivel 2 (presente) y 2 (funcionando); 3 (presente) y 1 (funcionando); 3 (presente) y 2 (funcionando).</v>
      </c>
      <c r="J78" s="176" t="s">
        <v>435</v>
      </c>
      <c r="K78" s="176">
        <f>+IF(ISBLANK(VLOOKUP(A78,'Actividades de Monitoreo'!$B$20:$F$134,5,0)),"",VLOOKUP(A78,'Actividades de Monitoreo'!$B$20:$F$134,5,0))</f>
        <v>3</v>
      </c>
      <c r="L78" s="176">
        <f>+IF(ISBLANK(VLOOKUP(A78,'Actividades de Monitoreo'!$B$20:$J$134,9,0)),"",VLOOKUP(A78,'Actividades de Monitoreo'!$B$20:$J$134,9,0))</f>
        <v>3</v>
      </c>
      <c r="M78" s="176">
        <f t="shared" si="15"/>
        <v>1</v>
      </c>
      <c r="N78" s="176">
        <f t="shared" si="17"/>
        <v>0.6428571428571429</v>
      </c>
      <c r="O78" s="176"/>
      <c r="P78" s="176"/>
    </row>
    <row r="79" spans="1:16" x14ac:dyDescent="0.2">
      <c r="A79" s="176" t="s">
        <v>440</v>
      </c>
      <c r="B79" s="176" t="str">
        <f t="shared" si="9"/>
        <v>17</v>
      </c>
      <c r="C79" s="176" t="str">
        <f>+MID(VLOOKUP(A79,'Actividades de Monitoreo'!$B$13:$C$176,2,0),6,LEN(VLOOKUP(A79,'Actividades de Monitoreo'!$B$13:$C$176,2,0))-6)</f>
        <v>Se evalúa la información suministrada por los usuarios (Sistema PQRD), así como de otras partes interesadas para la mejora del  Sistema de Control Interno de la Entidad</v>
      </c>
      <c r="D79" s="176" t="s">
        <v>428</v>
      </c>
      <c r="E79" s="176" t="str">
        <f>+VLOOKUP(A79,'Actividades de Monitoreo'!$B$17:$K$134,3,0)</f>
        <v xml:space="preserve">
Dimension de Informacion y Comunicación 
Dimension de Control Interno
Lineas de Defensa</v>
      </c>
      <c r="F79" s="176" t="str">
        <f>+VLOOKUP(A79,'Actividades de Monitoreo'!$B$17:$K$134,10,0)</f>
        <v>Deficiencia de control (diseño o ejecución)</v>
      </c>
      <c r="G79" s="176">
        <f>+VLOOKUP(A79,'Actividades de Monitoreo'!$B$13:$N$176,13,0)</f>
        <v>346.98739999999998</v>
      </c>
      <c r="H79" s="178">
        <f t="shared" si="16"/>
        <v>74</v>
      </c>
      <c r="I79" s="176" t="str">
        <f t="shared" si="14"/>
        <v>Cuando en el análisis de los requerimientos en los diferenes componentes del MECI se cuente con aspectos evaluados en nivel 1 (presente) y 1 (funcionando); 2 (presente) y 1 (funcionando).</v>
      </c>
      <c r="J79" s="176" t="s">
        <v>435</v>
      </c>
      <c r="K79" s="176">
        <f>+IF(ISBLANK(VLOOKUP(A79,'Actividades de Monitoreo'!$B$20:$F$134,5,0)),"",VLOOKUP(A79,'Actividades de Monitoreo'!$B$20:$F$134,5,0))</f>
        <v>3</v>
      </c>
      <c r="L79" s="176">
        <f>+IF(ISBLANK(VLOOKUP(A79,'Actividades de Monitoreo'!$B$20:$J$134,9,0)),"",VLOOKUP(A79,'Actividades de Monitoreo'!$B$20:$J$134,9,0))</f>
        <v>1</v>
      </c>
      <c r="M79" s="176">
        <f t="shared" si="15"/>
        <v>0.5</v>
      </c>
      <c r="N79" s="176">
        <f t="shared" si="17"/>
        <v>0.6428571428571429</v>
      </c>
      <c r="O79" s="176"/>
      <c r="P79" s="176"/>
    </row>
    <row r="80" spans="1:16" x14ac:dyDescent="0.2">
      <c r="A80" s="176" t="s">
        <v>441</v>
      </c>
      <c r="B80" s="176" t="str">
        <f t="shared" si="9"/>
        <v>17</v>
      </c>
      <c r="C80" s="176" t="str">
        <f>+MID(VLOOKUP(A80,'Actividades de Monitoreo'!$B$13:$C$176,2,0),6,LEN(VLOOKUP(A80,'Actividades de Monitoreo'!$B$13:$C$176,2,0))-6)</f>
        <v>Verificación del avance y cumplimiento de las acciones incluidas en los planes de mejoramiento producto de las autoevaluaciones. (2ª Línea).</v>
      </c>
      <c r="D80" s="176" t="s">
        <v>428</v>
      </c>
      <c r="E80" s="176" t="str">
        <f>+VLOOKUP(A80,'Actividades de Monitoreo'!$B$17:$K$134,3,0)</f>
        <v xml:space="preserve">
Dimension de Control Interno
Lineas de Defensa</v>
      </c>
      <c r="F80" s="176" t="str">
        <f>+VLOOKUP(A80,'Actividades de Monitoreo'!$B$17:$K$134,10,0)</f>
        <v>Deficiencia de control (diseño o ejecución)</v>
      </c>
      <c r="G80" s="176">
        <f>+VLOOKUP(A80,'Actividades de Monitoreo'!$B$13:$N$176,13,0)</f>
        <v>346.98745000000002</v>
      </c>
      <c r="H80" s="178">
        <f t="shared" si="16"/>
        <v>75</v>
      </c>
      <c r="I80" s="176" t="str">
        <f t="shared" si="14"/>
        <v>Cuando en el análisis de los requerimientos en los diferenes componentes del MECI se cuente con aspectos evaluados en nivel 1 (presente) y 1 (funcionando); 2 (presente) y 1 (funcionando).</v>
      </c>
      <c r="J80" s="176" t="s">
        <v>435</v>
      </c>
      <c r="K80" s="176">
        <f>+IF(ISBLANK(VLOOKUP(A80,'Actividades de Monitoreo'!$B$20:$F$134,5,0)),"",VLOOKUP(A80,'Actividades de Monitoreo'!$B$20:$F$134,5,0))</f>
        <v>2</v>
      </c>
      <c r="L80" s="176">
        <f>+IF(ISBLANK(VLOOKUP(A80,'Actividades de Monitoreo'!$B$20:$J$134,9,0)),"",VLOOKUP(A80,'Actividades de Monitoreo'!$B$20:$J$134,9,0))</f>
        <v>1</v>
      </c>
      <c r="M80" s="176">
        <f t="shared" si="15"/>
        <v>0.5</v>
      </c>
      <c r="N80" s="176">
        <f t="shared" si="17"/>
        <v>0.6428571428571429</v>
      </c>
      <c r="O80" s="176"/>
      <c r="P80" s="176"/>
    </row>
    <row r="81" spans="1:16" x14ac:dyDescent="0.2">
      <c r="A81" s="176" t="s">
        <v>442</v>
      </c>
      <c r="B81" s="176" t="str">
        <f t="shared" si="9"/>
        <v>17</v>
      </c>
      <c r="C81" s="176" t="str">
        <f>+MID(VLOOKUP(A81,'Actividades de Monitoreo'!$B$13:$C$176,2,0),6,LEN(VLOOKUP(A81,'Actividades de Monitoreo'!$B$13:$C$176,2,0))-6)</f>
        <v>Evaluación de la efectividad de las acciones incluidas en los Planes de mejoramiento producto de las auditorías internas y de entes externos. (3ª Línea</v>
      </c>
      <c r="D81" s="176" t="s">
        <v>428</v>
      </c>
      <c r="E81" s="176" t="str">
        <f>+VLOOKUP(A81,'Actividades de Monitoreo'!$B$17:$K$134,3,0)</f>
        <v xml:space="preserve">
Dimension de Control Interno
Lineas de Defensa</v>
      </c>
      <c r="F81" s="176" t="str">
        <f>+VLOOKUP(A81,'Actividades de Monitoreo'!$B$17:$K$134,10,0)</f>
        <v>Deficiencia de control (diseño o ejecución)</v>
      </c>
      <c r="G81" s="176">
        <f>+VLOOKUP(A81,'Actividades de Monitoreo'!$B$13:$N$176,13,0)</f>
        <v>346.98745600000001</v>
      </c>
      <c r="H81" s="178">
        <f t="shared" si="16"/>
        <v>76</v>
      </c>
      <c r="I81" s="176" t="str">
        <f t="shared" si="14"/>
        <v>Cuando en el análisis de los requerimientos en los diferenes componentes del MECI se cuente con aspectos evaluados en nivel 1 (presente) y 1 (funcionando); 2 (presente) y 1 (funcionando).</v>
      </c>
      <c r="J81" s="176" t="s">
        <v>435</v>
      </c>
      <c r="K81" s="176">
        <f>+IF(ISBLANK(VLOOKUP(A81,'Actividades de Monitoreo'!$B$20:$F$134,5,0)),"",VLOOKUP(A81,'Actividades de Monitoreo'!$B$20:$F$134,5,0))</f>
        <v>3</v>
      </c>
      <c r="L81" s="176">
        <f>+IF(ISBLANK(VLOOKUP(A81,'Actividades de Monitoreo'!$B$20:$J$134,9,0)),"",VLOOKUP(A81,'Actividades de Monitoreo'!$B$20:$J$134,9,0))</f>
        <v>1</v>
      </c>
      <c r="M81" s="176">
        <f t="shared" si="15"/>
        <v>0.5</v>
      </c>
      <c r="N81" s="176">
        <f t="shared" si="17"/>
        <v>0.6428571428571429</v>
      </c>
      <c r="O81" s="176"/>
      <c r="P81" s="176"/>
    </row>
    <row r="82" spans="1:16" x14ac:dyDescent="0.2">
      <c r="A82" s="176" t="s">
        <v>443</v>
      </c>
      <c r="B82" s="176" t="str">
        <f t="shared" si="9"/>
        <v>17</v>
      </c>
      <c r="C82" s="176" t="str">
        <f>+MID(VLOOKUP(A82,'Actividades de Monitoreo'!$B$13:$C$176,2,0),6,LEN(VLOOKUP(A82,'Actividades de Monitoreo'!$B$13:$C$176,2,0))-6)</f>
        <v>Las deficiencias de control interno son reportadas a los responsables de nivel jerárquico superior, para tomar la acciones correspondientes</v>
      </c>
      <c r="D82" s="176" t="s">
        <v>428</v>
      </c>
      <c r="E82" s="176" t="str">
        <f>+VLOOKUP(A82,'Actividades de Monitoreo'!$B$17:$K$134,3,0)</f>
        <v xml:space="preserve">
Dimension de Control Interno
Lineas de Defensa</v>
      </c>
      <c r="F82" s="176" t="str">
        <f>+VLOOKUP(A82,'Actividades de Monitoreo'!$B$17:$K$134,10,0)</f>
        <v>Deficiencia de control (diseño o ejecución)</v>
      </c>
      <c r="G82" s="176">
        <f>+VLOOKUP(A82,'Actividades de Monitoreo'!$B$13:$N$176,13,0)</f>
        <v>347.01229999999998</v>
      </c>
      <c r="H82" s="178">
        <f t="shared" si="16"/>
        <v>77</v>
      </c>
      <c r="I82" s="176" t="str">
        <f t="shared" si="14"/>
        <v>Cuando en el análisis de los requerimientos en los diferenes componentes del MECI se cuente con aspectos evaluados en nivel 1 (presente) y 1 (funcionando); 2 (presente) y 1 (funcionando).</v>
      </c>
      <c r="J82" s="176" t="s">
        <v>435</v>
      </c>
      <c r="K82" s="176">
        <f>+IF(ISBLANK(VLOOKUP(A82,'Actividades de Monitoreo'!$B$20:$F$134,5,0)),"",VLOOKUP(A82,'Actividades de Monitoreo'!$B$20:$F$134,5,0))</f>
        <v>3</v>
      </c>
      <c r="L82" s="176">
        <f>+IF(ISBLANK(VLOOKUP(A82,'Actividades de Monitoreo'!$B$20:$J$134,9,0)),"",VLOOKUP(A82,'Actividades de Monitoreo'!$B$20:$J$134,9,0))</f>
        <v>2</v>
      </c>
      <c r="M82" s="176">
        <f t="shared" si="15"/>
        <v>0.5</v>
      </c>
      <c r="N82" s="176">
        <f t="shared" si="17"/>
        <v>0.6428571428571429</v>
      </c>
      <c r="O82" s="176"/>
      <c r="P82" s="176"/>
    </row>
  </sheetData>
  <sheetProtection password="D72A"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9"/>
  <sheetViews>
    <sheetView showGridLines="0" workbookViewId="0">
      <pane xSplit="1" ySplit="4" topLeftCell="B7" activePane="bottomRight" state="frozen"/>
      <selection pane="topRight" activeCell="B1" sqref="B1"/>
      <selection pane="bottomLeft" activeCell="A11" sqref="A11"/>
      <selection pane="bottomRight" activeCell="C25" sqref="C25"/>
    </sheetView>
  </sheetViews>
  <sheetFormatPr baseColWidth="10" defaultColWidth="11.42578125" defaultRowHeight="16.5" x14ac:dyDescent="0.3"/>
  <cols>
    <col min="1" max="1" width="3.5703125" style="23" customWidth="1"/>
    <col min="2" max="2" width="36.42578125" style="23" customWidth="1"/>
    <col min="3" max="3" width="67.140625" style="27" customWidth="1"/>
    <col min="4" max="16384" width="11.42578125" style="23"/>
  </cols>
  <sheetData>
    <row r="2" spans="2:12" x14ac:dyDescent="0.3">
      <c r="B2" s="273" t="s">
        <v>38</v>
      </c>
      <c r="C2" s="273"/>
      <c r="D2" s="22"/>
      <c r="E2" s="22"/>
      <c r="F2" s="22"/>
      <c r="G2" s="22"/>
      <c r="H2" s="22"/>
      <c r="I2" s="22"/>
      <c r="J2" s="22"/>
      <c r="K2" s="22"/>
      <c r="L2" s="22"/>
    </row>
    <row r="4" spans="2:12" x14ac:dyDescent="0.3">
      <c r="B4" s="28" t="s">
        <v>39</v>
      </c>
      <c r="C4" s="29" t="s">
        <v>5</v>
      </c>
    </row>
    <row r="5" spans="2:12" ht="66" x14ac:dyDescent="0.3">
      <c r="B5" s="102" t="s">
        <v>40</v>
      </c>
      <c r="C5" s="24" t="s">
        <v>41</v>
      </c>
    </row>
    <row r="6" spans="2:12" ht="46.5" customHeight="1" x14ac:dyDescent="0.3">
      <c r="B6" s="103" t="s">
        <v>42</v>
      </c>
      <c r="C6" s="25" t="s">
        <v>43</v>
      </c>
    </row>
    <row r="7" spans="2:12" ht="66" x14ac:dyDescent="0.3">
      <c r="B7" s="104" t="s">
        <v>44</v>
      </c>
      <c r="C7" s="26" t="s">
        <v>45</v>
      </c>
    </row>
    <row r="8" spans="2:12" ht="49.5" x14ac:dyDescent="0.3">
      <c r="B8" s="105" t="s">
        <v>46</v>
      </c>
      <c r="C8" s="26" t="s">
        <v>47</v>
      </c>
    </row>
    <row r="9" spans="2:12" ht="49.5" x14ac:dyDescent="0.3">
      <c r="B9" s="105" t="s">
        <v>48</v>
      </c>
      <c r="C9" s="26" t="s">
        <v>49</v>
      </c>
    </row>
    <row r="10" spans="2:12" x14ac:dyDescent="0.3">
      <c r="B10" s="104" t="s">
        <v>50</v>
      </c>
      <c r="C10" s="26" t="s">
        <v>51</v>
      </c>
    </row>
    <row r="11" spans="2:12" ht="132" x14ac:dyDescent="0.3">
      <c r="B11" s="104" t="s">
        <v>52</v>
      </c>
      <c r="C11" s="26" t="s">
        <v>53</v>
      </c>
    </row>
    <row r="12" spans="2:12" ht="66" x14ac:dyDescent="0.3">
      <c r="B12" s="104" t="s">
        <v>54</v>
      </c>
      <c r="C12" s="26" t="s">
        <v>55</v>
      </c>
    </row>
    <row r="13" spans="2:12" ht="49.5" x14ac:dyDescent="0.3">
      <c r="B13" s="104" t="s">
        <v>56</v>
      </c>
      <c r="C13" s="26" t="s">
        <v>57</v>
      </c>
    </row>
    <row r="14" spans="2:12" ht="49.5" x14ac:dyDescent="0.3">
      <c r="B14" s="105" t="s">
        <v>58</v>
      </c>
      <c r="C14" s="101" t="s">
        <v>59</v>
      </c>
    </row>
    <row r="15" spans="2:12" ht="33" x14ac:dyDescent="0.3">
      <c r="B15" s="105" t="s">
        <v>60</v>
      </c>
      <c r="C15" s="101" t="s">
        <v>61</v>
      </c>
    </row>
    <row r="16" spans="2:12" ht="66" x14ac:dyDescent="0.3">
      <c r="B16" s="105" t="s">
        <v>62</v>
      </c>
      <c r="C16" s="101" t="s">
        <v>63</v>
      </c>
    </row>
    <row r="17" spans="2:3" ht="33" x14ac:dyDescent="0.3">
      <c r="B17" s="105" t="s">
        <v>64</v>
      </c>
      <c r="C17" s="101" t="s">
        <v>65</v>
      </c>
    </row>
    <row r="18" spans="2:3" x14ac:dyDescent="0.3">
      <c r="B18" s="105" t="s">
        <v>66</v>
      </c>
      <c r="C18" s="101" t="s">
        <v>67</v>
      </c>
    </row>
    <row r="19" spans="2:3" ht="33" x14ac:dyDescent="0.3">
      <c r="B19" s="105" t="s">
        <v>68</v>
      </c>
      <c r="C19" s="101" t="s">
        <v>69</v>
      </c>
    </row>
    <row r="20" spans="2:3" ht="33" x14ac:dyDescent="0.3">
      <c r="B20" s="104" t="s">
        <v>70</v>
      </c>
      <c r="C20" s="26" t="s">
        <v>71</v>
      </c>
    </row>
    <row r="21" spans="2:3" ht="66" x14ac:dyDescent="0.3">
      <c r="B21" s="104" t="s">
        <v>72</v>
      </c>
      <c r="C21" s="26" t="s">
        <v>73</v>
      </c>
    </row>
    <row r="22" spans="2:3" ht="82.5" x14ac:dyDescent="0.3">
      <c r="B22" s="104" t="s">
        <v>74</v>
      </c>
      <c r="C22" s="26" t="s">
        <v>75</v>
      </c>
    </row>
    <row r="23" spans="2:3" ht="66" x14ac:dyDescent="0.3">
      <c r="B23" s="104" t="s">
        <v>76</v>
      </c>
      <c r="C23" s="26" t="s">
        <v>77</v>
      </c>
    </row>
    <row r="24" spans="2:3" ht="99" x14ac:dyDescent="0.3">
      <c r="B24" s="104" t="s">
        <v>78</v>
      </c>
      <c r="C24" s="26" t="s">
        <v>79</v>
      </c>
    </row>
    <row r="25" spans="2:3" ht="33" x14ac:dyDescent="0.3">
      <c r="B25" s="104" t="s">
        <v>80</v>
      </c>
      <c r="C25" s="26" t="s">
        <v>81</v>
      </c>
    </row>
    <row r="26" spans="2:3" ht="33" x14ac:dyDescent="0.3">
      <c r="B26" s="105" t="s">
        <v>82</v>
      </c>
      <c r="C26" s="101" t="s">
        <v>83</v>
      </c>
    </row>
    <row r="27" spans="2:3" ht="33" x14ac:dyDescent="0.3">
      <c r="B27" s="105" t="s">
        <v>84</v>
      </c>
      <c r="C27" s="101" t="s">
        <v>85</v>
      </c>
    </row>
    <row r="28" spans="2:3" ht="49.5" x14ac:dyDescent="0.3">
      <c r="B28" s="105" t="s">
        <v>27</v>
      </c>
      <c r="C28" s="101" t="s">
        <v>86</v>
      </c>
    </row>
    <row r="29" spans="2:3" ht="33" x14ac:dyDescent="0.3">
      <c r="B29" s="104" t="s">
        <v>87</v>
      </c>
      <c r="C29" s="26" t="s">
        <v>88</v>
      </c>
    </row>
    <row r="30" spans="2:3" ht="33" x14ac:dyDescent="0.3">
      <c r="B30" s="104" t="s">
        <v>89</v>
      </c>
      <c r="C30" s="26" t="s">
        <v>90</v>
      </c>
    </row>
    <row r="31" spans="2:3" ht="33" x14ac:dyDescent="0.3">
      <c r="B31" s="104" t="s">
        <v>91</v>
      </c>
      <c r="C31" s="26" t="s">
        <v>92</v>
      </c>
    </row>
    <row r="32" spans="2:3" ht="49.5" x14ac:dyDescent="0.3">
      <c r="B32" s="104" t="s">
        <v>93</v>
      </c>
      <c r="C32" s="26" t="s">
        <v>94</v>
      </c>
    </row>
    <row r="33" spans="2:3" ht="33" x14ac:dyDescent="0.3">
      <c r="B33" s="104" t="s">
        <v>95</v>
      </c>
      <c r="C33" s="26" t="s">
        <v>96</v>
      </c>
    </row>
    <row r="34" spans="2:3" ht="33" x14ac:dyDescent="0.3">
      <c r="B34" s="104" t="s">
        <v>97</v>
      </c>
      <c r="C34" s="26" t="s">
        <v>98</v>
      </c>
    </row>
    <row r="35" spans="2:3" ht="33" x14ac:dyDescent="0.3">
      <c r="B35" s="104" t="s">
        <v>99</v>
      </c>
      <c r="C35" s="26" t="s">
        <v>100</v>
      </c>
    </row>
    <row r="36" spans="2:3" ht="49.5" x14ac:dyDescent="0.3">
      <c r="B36" s="104" t="s">
        <v>101</v>
      </c>
      <c r="C36" s="26" t="s">
        <v>102</v>
      </c>
    </row>
    <row r="37" spans="2:3" ht="49.5" x14ac:dyDescent="0.3">
      <c r="B37" s="104" t="s">
        <v>103</v>
      </c>
      <c r="C37" s="26" t="s">
        <v>104</v>
      </c>
    </row>
    <row r="38" spans="2:3" ht="49.5" x14ac:dyDescent="0.3">
      <c r="B38" s="105" t="s">
        <v>105</v>
      </c>
      <c r="C38" s="101" t="s">
        <v>106</v>
      </c>
    </row>
    <row r="39" spans="2:3" ht="82.5" customHeight="1" x14ac:dyDescent="0.3">
      <c r="B39" s="105" t="s">
        <v>107</v>
      </c>
      <c r="C39" s="101" t="s">
        <v>108</v>
      </c>
    </row>
  </sheetData>
  <sortState ref="B5:C37">
    <sortCondition ref="B5:B37"/>
  </sortState>
  <mergeCells count="1">
    <mergeCell ref="B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4:O352"/>
  <sheetViews>
    <sheetView showGridLines="0" topLeftCell="A76" zoomScale="90" zoomScaleNormal="90" workbookViewId="0">
      <selection activeCell="H228" sqref="H228:H235"/>
    </sheetView>
  </sheetViews>
  <sheetFormatPr baseColWidth="10" defaultColWidth="3.140625" defaultRowHeight="0" customHeight="1" zeroHeight="1" x14ac:dyDescent="0.3"/>
  <cols>
    <col min="1" max="1" width="11.7109375" style="15" customWidth="1"/>
    <col min="2" max="2" width="3.5703125" style="134" hidden="1" customWidth="1"/>
    <col min="3" max="3" width="42.5703125" style="15" customWidth="1"/>
    <col min="4" max="4" width="36.140625" style="15" customWidth="1"/>
    <col min="5" max="5" width="41.140625" style="15" customWidth="1"/>
    <col min="6" max="6" width="8.140625" style="15" customWidth="1"/>
    <col min="7" max="7" width="3.5703125" style="15" bestFit="1" customWidth="1"/>
    <col min="8" max="8" width="39.85546875" style="15" customWidth="1"/>
    <col min="9" max="9" width="46.85546875" style="15" customWidth="1"/>
    <col min="10" max="10" width="7.42578125" style="15" customWidth="1"/>
    <col min="11" max="11" width="19" style="15" customWidth="1"/>
    <col min="12" max="12" width="3.140625" style="55" customWidth="1"/>
    <col min="13" max="13" width="7.28515625" style="55" customWidth="1"/>
    <col min="14" max="14" width="12.28515625" style="97" customWidth="1"/>
    <col min="15" max="15" width="12.28515625" style="131" customWidth="1"/>
    <col min="16" max="16364" width="3.140625" style="15" customWidth="1"/>
    <col min="16365" max="16384" width="3.140625" style="15"/>
  </cols>
  <sheetData>
    <row r="4" spans="5:10" ht="9.9499999999999993" customHeight="1" x14ac:dyDescent="0.3"/>
    <row r="5" spans="5:10" ht="9.9499999999999993" customHeight="1" x14ac:dyDescent="0.3"/>
    <row r="6" spans="5:10" ht="9.9499999999999993" customHeight="1" x14ac:dyDescent="0.3"/>
    <row r="7" spans="5:10" ht="9.9499999999999993" customHeight="1" x14ac:dyDescent="0.3"/>
    <row r="8" spans="5:10" ht="9.9499999999999993" customHeight="1" x14ac:dyDescent="0.3"/>
    <row r="9" spans="5:10" ht="9.9499999999999993" customHeight="1" x14ac:dyDescent="0.3"/>
    <row r="10" spans="5:10" ht="9.9499999999999993" customHeight="1" x14ac:dyDescent="0.3"/>
    <row r="11" spans="5:10" ht="9.9499999999999993" customHeight="1" x14ac:dyDescent="0.3"/>
    <row r="12" spans="5:10" ht="9.9499999999999993" customHeight="1" x14ac:dyDescent="0.3"/>
    <row r="13" spans="5:10" ht="9.9499999999999993" customHeight="1" x14ac:dyDescent="0.3">
      <c r="E13" s="379"/>
      <c r="F13" s="380"/>
      <c r="G13" s="380"/>
      <c r="H13" s="380"/>
      <c r="I13" s="380"/>
      <c r="J13" s="380"/>
    </row>
    <row r="14" spans="5:10" ht="31.5" customHeight="1" x14ac:dyDescent="0.3">
      <c r="E14" s="379"/>
      <c r="F14" s="380"/>
      <c r="G14" s="380"/>
      <c r="H14" s="380"/>
      <c r="I14" s="380"/>
      <c r="J14" s="380"/>
    </row>
    <row r="15" spans="5:10" ht="24.75" customHeight="1" x14ac:dyDescent="0.3">
      <c r="E15" s="66"/>
      <c r="F15" s="381"/>
      <c r="G15" s="381"/>
      <c r="H15" s="381"/>
      <c r="I15" s="381"/>
      <c r="J15" s="381"/>
    </row>
    <row r="16" spans="5:10" ht="20.25" customHeight="1" x14ac:dyDescent="0.3"/>
    <row r="17" spans="1:15" ht="9.9499999999999993" customHeight="1" x14ac:dyDescent="0.3"/>
    <row r="18" spans="1:15" ht="20.100000000000001" customHeight="1" x14ac:dyDescent="0.3">
      <c r="C18" s="329" t="s">
        <v>109</v>
      </c>
      <c r="D18" s="329"/>
      <c r="E18" s="329"/>
      <c r="F18" s="329"/>
      <c r="G18" s="329"/>
      <c r="H18" s="329"/>
      <c r="I18" s="329"/>
      <c r="J18" s="329"/>
      <c r="K18" s="329"/>
    </row>
    <row r="19" spans="1:15" ht="60" customHeight="1" x14ac:dyDescent="0.3">
      <c r="C19" s="330" t="s">
        <v>110</v>
      </c>
      <c r="D19" s="330"/>
      <c r="E19" s="330"/>
      <c r="F19" s="330"/>
      <c r="G19" s="330"/>
      <c r="H19" s="330"/>
      <c r="I19" s="330"/>
      <c r="J19" s="330"/>
      <c r="K19" s="330"/>
    </row>
    <row r="20" spans="1:15" ht="9.9499999999999993" customHeight="1" thickBot="1" x14ac:dyDescent="0.35">
      <c r="B20" s="135"/>
      <c r="C20" s="16"/>
      <c r="D20" s="16"/>
      <c r="F20" s="17"/>
    </row>
    <row r="21" spans="1:15" ht="36.75" customHeight="1" x14ac:dyDescent="0.3">
      <c r="B21" s="400" t="s">
        <v>111</v>
      </c>
      <c r="C21" s="361" t="s">
        <v>112</v>
      </c>
      <c r="D21" s="359" t="s">
        <v>8</v>
      </c>
      <c r="E21" s="348" t="s">
        <v>113</v>
      </c>
      <c r="F21" s="346" t="s">
        <v>114</v>
      </c>
      <c r="G21" s="385" t="s">
        <v>115</v>
      </c>
      <c r="H21" s="386"/>
      <c r="I21" s="387"/>
      <c r="J21" s="346" t="s">
        <v>116</v>
      </c>
      <c r="K21" s="346" t="s">
        <v>117</v>
      </c>
      <c r="L21" s="412"/>
      <c r="M21" s="412"/>
      <c r="N21" s="437"/>
      <c r="O21" s="416"/>
    </row>
    <row r="22" spans="1:15" ht="29.25" customHeight="1" x14ac:dyDescent="0.3">
      <c r="B22" s="400"/>
      <c r="C22" s="361"/>
      <c r="D22" s="349"/>
      <c r="E22" s="349"/>
      <c r="F22" s="346"/>
      <c r="G22" s="382" t="s">
        <v>13</v>
      </c>
      <c r="H22" s="384" t="s">
        <v>15</v>
      </c>
      <c r="I22" s="359" t="s">
        <v>17</v>
      </c>
      <c r="J22" s="346"/>
      <c r="K22" s="346"/>
      <c r="L22" s="412"/>
      <c r="M22" s="412"/>
      <c r="N22" s="437"/>
      <c r="O22" s="416"/>
    </row>
    <row r="23" spans="1:15" ht="79.5" customHeight="1" x14ac:dyDescent="0.3">
      <c r="B23" s="401"/>
      <c r="C23" s="362"/>
      <c r="D23" s="349"/>
      <c r="E23" s="349"/>
      <c r="F23" s="347"/>
      <c r="G23" s="383"/>
      <c r="H23" s="359"/>
      <c r="I23" s="349"/>
      <c r="J23" s="347"/>
      <c r="K23" s="347"/>
      <c r="L23" s="412"/>
      <c r="M23" s="412"/>
      <c r="N23" s="437"/>
      <c r="O23" s="416"/>
    </row>
    <row r="24" spans="1:15" ht="92.25" customHeight="1" x14ac:dyDescent="0.3">
      <c r="A24" s="298" t="s">
        <v>118</v>
      </c>
      <c r="B24" s="399" t="str">
        <f>+LEFT(C24,3)</f>
        <v xml:space="preserve"> Ap</v>
      </c>
      <c r="C24" s="338" t="s">
        <v>119</v>
      </c>
      <c r="D24" s="338" t="s">
        <v>120</v>
      </c>
      <c r="E24" s="338" t="s">
        <v>121</v>
      </c>
      <c r="F24" s="339">
        <v>1</v>
      </c>
      <c r="G24" s="117">
        <v>1</v>
      </c>
      <c r="H24" s="188" t="s">
        <v>122</v>
      </c>
      <c r="I24" s="338" t="s">
        <v>123</v>
      </c>
      <c r="J24" s="339">
        <v>3</v>
      </c>
      <c r="K24" s="393" t="str">
        <f>+IF(OR(ISBLANK(F24),ISBLANK(J24)),"",IF(OR(AND(F24=1,J24=1),AND(F24=1,J24=2),AND(F24=1,J24=3)),"Deficiencia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mayor (diseño y ejecución)</v>
      </c>
      <c r="L24" s="413"/>
      <c r="M24" s="413"/>
      <c r="N24" s="438"/>
      <c r="O24" s="415"/>
    </row>
    <row r="25" spans="1:15" s="18" customFormat="1" ht="79.5" customHeight="1" x14ac:dyDescent="0.3">
      <c r="A25" s="298"/>
      <c r="B25" s="399"/>
      <c r="C25" s="338"/>
      <c r="D25" s="338"/>
      <c r="E25" s="338"/>
      <c r="F25" s="339"/>
      <c r="G25" s="117">
        <v>2</v>
      </c>
      <c r="H25" s="188" t="s">
        <v>124</v>
      </c>
      <c r="I25" s="338"/>
      <c r="J25" s="339"/>
      <c r="K25" s="393"/>
      <c r="L25" s="413"/>
      <c r="M25" s="413"/>
      <c r="N25" s="438"/>
      <c r="O25" s="415"/>
    </row>
    <row r="26" spans="1:15" s="18" customFormat="1" ht="75" customHeight="1" x14ac:dyDescent="0.3">
      <c r="A26" s="298"/>
      <c r="B26" s="399"/>
      <c r="C26" s="338"/>
      <c r="D26" s="338"/>
      <c r="E26" s="338"/>
      <c r="F26" s="339"/>
      <c r="G26" s="117">
        <v>3</v>
      </c>
      <c r="H26" s="188" t="s">
        <v>125</v>
      </c>
      <c r="I26" s="338"/>
      <c r="J26" s="339"/>
      <c r="K26" s="393"/>
      <c r="L26" s="413"/>
      <c r="M26" s="413"/>
      <c r="N26" s="438"/>
      <c r="O26" s="415"/>
    </row>
    <row r="27" spans="1:15" s="18" customFormat="1" ht="16.5" x14ac:dyDescent="0.3">
      <c r="A27" s="298"/>
      <c r="B27" s="399"/>
      <c r="C27" s="338"/>
      <c r="D27" s="338"/>
      <c r="E27" s="338"/>
      <c r="F27" s="339"/>
      <c r="G27" s="117">
        <v>4</v>
      </c>
      <c r="H27" s="118"/>
      <c r="I27" s="338"/>
      <c r="J27" s="339"/>
      <c r="K27" s="393"/>
      <c r="L27" s="413"/>
      <c r="M27" s="413"/>
      <c r="N27" s="438"/>
      <c r="O27" s="415"/>
    </row>
    <row r="28" spans="1:15" s="18" customFormat="1" ht="16.5" x14ac:dyDescent="0.3">
      <c r="A28" s="298"/>
      <c r="B28" s="399"/>
      <c r="C28" s="338"/>
      <c r="D28" s="338"/>
      <c r="E28" s="338"/>
      <c r="F28" s="339"/>
      <c r="G28" s="117">
        <v>5</v>
      </c>
      <c r="H28" s="118"/>
      <c r="I28" s="338"/>
      <c r="J28" s="339"/>
      <c r="K28" s="393"/>
      <c r="L28" s="413"/>
      <c r="M28" s="413"/>
      <c r="N28" s="438"/>
      <c r="O28" s="415"/>
    </row>
    <row r="29" spans="1:15" s="18" customFormat="1" ht="16.5" x14ac:dyDescent="0.3">
      <c r="A29" s="298"/>
      <c r="B29" s="399"/>
      <c r="C29" s="338"/>
      <c r="D29" s="338"/>
      <c r="E29" s="338"/>
      <c r="F29" s="339"/>
      <c r="G29" s="117">
        <v>6</v>
      </c>
      <c r="H29" s="118"/>
      <c r="I29" s="338"/>
      <c r="J29" s="339"/>
      <c r="K29" s="393"/>
      <c r="L29" s="413"/>
      <c r="M29" s="413"/>
      <c r="N29" s="438"/>
      <c r="O29" s="415"/>
    </row>
    <row r="30" spans="1:15" s="18" customFormat="1" ht="16.5" x14ac:dyDescent="0.3">
      <c r="A30" s="298"/>
      <c r="B30" s="399"/>
      <c r="C30" s="338"/>
      <c r="D30" s="338"/>
      <c r="E30" s="338"/>
      <c r="F30" s="339"/>
      <c r="G30" s="117">
        <v>7</v>
      </c>
      <c r="H30" s="118"/>
      <c r="I30" s="338"/>
      <c r="J30" s="339"/>
      <c r="K30" s="393"/>
      <c r="L30" s="413"/>
      <c r="M30" s="413"/>
      <c r="N30" s="438"/>
      <c r="O30" s="415"/>
    </row>
    <row r="31" spans="1:15" s="18" customFormat="1" ht="120" customHeight="1" x14ac:dyDescent="0.3">
      <c r="A31" s="298"/>
      <c r="B31" s="399"/>
      <c r="C31" s="338"/>
      <c r="D31" s="338"/>
      <c r="E31" s="338"/>
      <c r="F31" s="339"/>
      <c r="G31" s="117">
        <v>8</v>
      </c>
      <c r="H31" s="118"/>
      <c r="I31" s="338"/>
      <c r="J31" s="339"/>
      <c r="K31" s="393"/>
      <c r="L31" s="413"/>
      <c r="M31" s="413"/>
      <c r="N31" s="438"/>
      <c r="O31" s="415"/>
    </row>
    <row r="32" spans="1:15" s="18" customFormat="1" ht="97.5" customHeight="1" x14ac:dyDescent="0.3">
      <c r="B32" s="407" t="str">
        <f>+LEFT(C32,3)</f>
        <v>1.1</v>
      </c>
      <c r="C32" s="333" t="s">
        <v>126</v>
      </c>
      <c r="D32" s="299" t="s">
        <v>120</v>
      </c>
      <c r="E32" s="334" t="s">
        <v>528</v>
      </c>
      <c r="F32" s="336">
        <v>2</v>
      </c>
      <c r="G32" s="137">
        <v>1</v>
      </c>
      <c r="H32" s="342" t="s">
        <v>529</v>
      </c>
      <c r="I32" s="340" t="s">
        <v>462</v>
      </c>
      <c r="J32" s="301">
        <v>2</v>
      </c>
      <c r="K32" s="303" t="str">
        <f t="shared" ref="K32" si="0">+IF(OR(ISBLANK(F32),ISBLANK(J32)),"",IF(OR(AND(F32=1,J32=1),AND(F32=1,J32=2),AND(F32=1,J32=3)),"Deficiencia de control mayor (diseño y ejecución)",IF(OR(AND(F32=2,J32=2),AND(F32=3,J32=1),AND(F32=3,J32=2),AND(F32=2,J32=1)),"Deficiencia de control (diseño o ejecución)",IF(AND(F32=2,J32=3),"Oportunidad de mejora","Mantenimiento del control"))))</f>
        <v>Deficiencia de control (diseño o ejecución)</v>
      </c>
      <c r="L32" s="413">
        <f>+IF(K32="",0,IF(K32="Deficiencia de control mayor (diseño y ejecución)",4,IF(K32="Deficiencia de control (diseño o ejecución)",20,IF(K32="Oportunidad de mejora",40,60))))</f>
        <v>20</v>
      </c>
      <c r="M32" s="413">
        <v>4.5870000000000001E-2</v>
      </c>
      <c r="N32" s="438">
        <f>+L32+M32</f>
        <v>20.045870000000001</v>
      </c>
      <c r="O32" s="415"/>
    </row>
    <row r="33" spans="2:15" s="18" customFormat="1" ht="16.5" x14ac:dyDescent="0.3">
      <c r="B33" s="403"/>
      <c r="C33" s="307"/>
      <c r="D33" s="299"/>
      <c r="E33" s="334"/>
      <c r="F33" s="336"/>
      <c r="G33" s="138">
        <v>2</v>
      </c>
      <c r="H33" s="342"/>
      <c r="I33" s="340"/>
      <c r="J33" s="301"/>
      <c r="K33" s="304"/>
      <c r="L33" s="413"/>
      <c r="M33" s="413"/>
      <c r="N33" s="438"/>
      <c r="O33" s="415"/>
    </row>
    <row r="34" spans="2:15" s="18" customFormat="1" ht="16.5" x14ac:dyDescent="0.3">
      <c r="B34" s="403"/>
      <c r="C34" s="307"/>
      <c r="D34" s="299"/>
      <c r="E34" s="334"/>
      <c r="F34" s="336"/>
      <c r="G34" s="138">
        <v>3</v>
      </c>
      <c r="H34" s="342"/>
      <c r="I34" s="340"/>
      <c r="J34" s="301"/>
      <c r="K34" s="304"/>
      <c r="L34" s="413"/>
      <c r="M34" s="413"/>
      <c r="N34" s="438"/>
      <c r="O34" s="415"/>
    </row>
    <row r="35" spans="2:15" s="18" customFormat="1" ht="16.5" x14ac:dyDescent="0.3">
      <c r="B35" s="403"/>
      <c r="C35" s="307"/>
      <c r="D35" s="299"/>
      <c r="E35" s="334"/>
      <c r="F35" s="336"/>
      <c r="G35" s="138">
        <v>4</v>
      </c>
      <c r="H35" s="342"/>
      <c r="I35" s="340"/>
      <c r="J35" s="301"/>
      <c r="K35" s="304"/>
      <c r="L35" s="413"/>
      <c r="M35" s="413"/>
      <c r="N35" s="438"/>
      <c r="O35" s="415"/>
    </row>
    <row r="36" spans="2:15" s="18" customFormat="1" ht="16.5" x14ac:dyDescent="0.3">
      <c r="B36" s="403"/>
      <c r="C36" s="307"/>
      <c r="D36" s="299"/>
      <c r="E36" s="334"/>
      <c r="F36" s="336"/>
      <c r="G36" s="138">
        <v>5</v>
      </c>
      <c r="H36" s="342"/>
      <c r="I36" s="340"/>
      <c r="J36" s="301"/>
      <c r="K36" s="304"/>
      <c r="L36" s="413"/>
      <c r="M36" s="413"/>
      <c r="N36" s="438"/>
      <c r="O36" s="415"/>
    </row>
    <row r="37" spans="2:15" s="18" customFormat="1" ht="16.5" x14ac:dyDescent="0.3">
      <c r="B37" s="403"/>
      <c r="C37" s="307"/>
      <c r="D37" s="299"/>
      <c r="E37" s="334"/>
      <c r="F37" s="336"/>
      <c r="G37" s="138">
        <v>6</v>
      </c>
      <c r="H37" s="342"/>
      <c r="I37" s="340"/>
      <c r="J37" s="301"/>
      <c r="K37" s="304"/>
      <c r="L37" s="413"/>
      <c r="M37" s="413"/>
      <c r="N37" s="438"/>
      <c r="O37" s="415"/>
    </row>
    <row r="38" spans="2:15" s="18" customFormat="1" ht="16.5" x14ac:dyDescent="0.3">
      <c r="B38" s="403"/>
      <c r="C38" s="307"/>
      <c r="D38" s="299"/>
      <c r="E38" s="334"/>
      <c r="F38" s="336"/>
      <c r="G38" s="138">
        <v>7</v>
      </c>
      <c r="H38" s="342"/>
      <c r="I38" s="340"/>
      <c r="J38" s="301"/>
      <c r="K38" s="304"/>
      <c r="L38" s="413"/>
      <c r="M38" s="413"/>
      <c r="N38" s="438"/>
      <c r="O38" s="415"/>
    </row>
    <row r="39" spans="2:15" s="18" customFormat="1" ht="18.75" customHeight="1" thickBot="1" x14ac:dyDescent="0.35">
      <c r="B39" s="404"/>
      <c r="C39" s="308"/>
      <c r="D39" s="300"/>
      <c r="E39" s="335"/>
      <c r="F39" s="337"/>
      <c r="G39" s="139">
        <v>8</v>
      </c>
      <c r="H39" s="343"/>
      <c r="I39" s="341"/>
      <c r="J39" s="302"/>
      <c r="K39" s="305"/>
      <c r="L39" s="413"/>
      <c r="M39" s="413"/>
      <c r="N39" s="438"/>
      <c r="O39" s="415"/>
    </row>
    <row r="40" spans="2:15" s="18" customFormat="1" ht="16.5" customHeight="1" x14ac:dyDescent="0.3">
      <c r="B40" s="402" t="str">
        <f>+LEFT(C40,3)</f>
        <v>1.2</v>
      </c>
      <c r="C40" s="306" t="s">
        <v>127</v>
      </c>
      <c r="D40" s="331" t="s">
        <v>120</v>
      </c>
      <c r="E40" s="279" t="s">
        <v>483</v>
      </c>
      <c r="F40" s="322">
        <v>1</v>
      </c>
      <c r="G40" s="137">
        <v>1</v>
      </c>
      <c r="H40" s="344" t="s">
        <v>484</v>
      </c>
      <c r="I40" s="279" t="s">
        <v>485</v>
      </c>
      <c r="J40" s="319">
        <v>1</v>
      </c>
      <c r="K40" s="394" t="str">
        <f t="shared" ref="K40" si="1">+IF(OR(ISBLANK(F40),ISBLANK(J40)),"",IF(OR(AND(F40=1,J40=1),AND(F40=1,J40=2),AND(F40=1,J40=3)),"Deficiencia de control mayor (diseño y ejecución)",IF(OR(AND(F40=2,J40=2),AND(F40=3,J40=1),AND(F40=3,J40=2),AND(F40=2,J40=1)),"Deficiencia de control (diseño o ejecución)",IF(AND(F40=2,J40=3),"Oportunidad de mejora","Mantenimiento del control"))))</f>
        <v>Deficiencia de control mayor (diseño y ejecución)</v>
      </c>
      <c r="L40" s="413">
        <f t="shared" ref="L40" si="2">+IF(K40="",0,IF(K40="Deficiencia de control mayor (diseño y ejecución)",4,IF(K40="Deficiencia de control (diseño o ejecución)",20,IF(K40="Oportunidad de mejora",40,60))))</f>
        <v>4</v>
      </c>
      <c r="M40" s="413">
        <v>5.5690000000000003E-2</v>
      </c>
      <c r="N40" s="438">
        <f t="shared" ref="N40" si="3">+L40+M40</f>
        <v>4.0556900000000002</v>
      </c>
      <c r="O40" s="415"/>
    </row>
    <row r="41" spans="2:15" s="18" customFormat="1" ht="16.5" x14ac:dyDescent="0.3">
      <c r="B41" s="403"/>
      <c r="C41" s="307"/>
      <c r="D41" s="299"/>
      <c r="E41" s="280"/>
      <c r="F41" s="323"/>
      <c r="G41" s="138">
        <v>2</v>
      </c>
      <c r="H41" s="344"/>
      <c r="I41" s="280"/>
      <c r="J41" s="320"/>
      <c r="K41" s="304"/>
      <c r="L41" s="413"/>
      <c r="M41" s="413"/>
      <c r="N41" s="438"/>
      <c r="O41" s="415"/>
    </row>
    <row r="42" spans="2:15" s="18" customFormat="1" ht="16.5" x14ac:dyDescent="0.3">
      <c r="B42" s="403"/>
      <c r="C42" s="307"/>
      <c r="D42" s="299"/>
      <c r="E42" s="280"/>
      <c r="F42" s="323"/>
      <c r="G42" s="138">
        <v>3</v>
      </c>
      <c r="H42" s="344"/>
      <c r="I42" s="280"/>
      <c r="J42" s="320"/>
      <c r="K42" s="304"/>
      <c r="L42" s="413"/>
      <c r="M42" s="413"/>
      <c r="N42" s="438"/>
      <c r="O42" s="415"/>
    </row>
    <row r="43" spans="2:15" s="18" customFormat="1" ht="16.5" x14ac:dyDescent="0.3">
      <c r="B43" s="403"/>
      <c r="C43" s="307"/>
      <c r="D43" s="299"/>
      <c r="E43" s="280"/>
      <c r="F43" s="323"/>
      <c r="G43" s="138">
        <v>4</v>
      </c>
      <c r="H43" s="344"/>
      <c r="I43" s="280"/>
      <c r="J43" s="320"/>
      <c r="K43" s="304"/>
      <c r="L43" s="413"/>
      <c r="M43" s="413"/>
      <c r="N43" s="438"/>
      <c r="O43" s="415"/>
    </row>
    <row r="44" spans="2:15" s="18" customFormat="1" ht="16.5" x14ac:dyDescent="0.3">
      <c r="B44" s="403"/>
      <c r="C44" s="307"/>
      <c r="D44" s="299"/>
      <c r="E44" s="280"/>
      <c r="F44" s="323"/>
      <c r="G44" s="138">
        <v>5</v>
      </c>
      <c r="H44" s="344"/>
      <c r="I44" s="280"/>
      <c r="J44" s="320"/>
      <c r="K44" s="304"/>
      <c r="L44" s="413"/>
      <c r="M44" s="413"/>
      <c r="N44" s="438"/>
      <c r="O44" s="415"/>
    </row>
    <row r="45" spans="2:15" s="18" customFormat="1" ht="16.5" x14ac:dyDescent="0.3">
      <c r="B45" s="403"/>
      <c r="C45" s="307"/>
      <c r="D45" s="299"/>
      <c r="E45" s="280"/>
      <c r="F45" s="323"/>
      <c r="G45" s="138">
        <v>6</v>
      </c>
      <c r="H45" s="344"/>
      <c r="I45" s="280"/>
      <c r="J45" s="320"/>
      <c r="K45" s="304"/>
      <c r="L45" s="413"/>
      <c r="M45" s="413"/>
      <c r="N45" s="438"/>
      <c r="O45" s="415"/>
    </row>
    <row r="46" spans="2:15" s="18" customFormat="1" ht="16.5" x14ac:dyDescent="0.3">
      <c r="B46" s="403"/>
      <c r="C46" s="307"/>
      <c r="D46" s="299"/>
      <c r="E46" s="280"/>
      <c r="F46" s="323"/>
      <c r="G46" s="138">
        <v>7</v>
      </c>
      <c r="H46" s="344"/>
      <c r="I46" s="280"/>
      <c r="J46" s="320"/>
      <c r="K46" s="304"/>
      <c r="L46" s="413"/>
      <c r="M46" s="413"/>
      <c r="N46" s="438"/>
      <c r="O46" s="415"/>
    </row>
    <row r="47" spans="2:15" s="18" customFormat="1" ht="123.75" customHeight="1" thickBot="1" x14ac:dyDescent="0.35">
      <c r="B47" s="404"/>
      <c r="C47" s="308"/>
      <c r="D47" s="300"/>
      <c r="E47" s="281"/>
      <c r="F47" s="324"/>
      <c r="G47" s="140">
        <v>8</v>
      </c>
      <c r="H47" s="345"/>
      <c r="I47" s="281"/>
      <c r="J47" s="321"/>
      <c r="K47" s="305"/>
      <c r="L47" s="413"/>
      <c r="M47" s="413"/>
      <c r="N47" s="438"/>
      <c r="O47" s="415"/>
    </row>
    <row r="48" spans="2:15" s="18" customFormat="1" ht="16.5" customHeight="1" x14ac:dyDescent="0.3">
      <c r="B48" s="402" t="str">
        <f>+LEFT(C48,3)</f>
        <v>1.3</v>
      </c>
      <c r="C48" s="306" t="s">
        <v>128</v>
      </c>
      <c r="D48" s="331" t="s">
        <v>129</v>
      </c>
      <c r="E48" s="279" t="s">
        <v>486</v>
      </c>
      <c r="F48" s="322">
        <v>1</v>
      </c>
      <c r="G48" s="141">
        <v>1</v>
      </c>
      <c r="H48" s="279" t="s">
        <v>581</v>
      </c>
      <c r="I48" s="285" t="s">
        <v>531</v>
      </c>
      <c r="J48" s="319">
        <v>1</v>
      </c>
      <c r="K48" s="394" t="str">
        <f t="shared" ref="K48" si="4">+IF(OR(ISBLANK(F48),ISBLANK(J48)),"",IF(OR(AND(F48=1,J48=1),AND(F48=1,J48=2),AND(F48=1,J48=3)),"Deficiencia de control mayor (diseño y ejecución)",IF(OR(AND(F48=2,J48=2),AND(F48=3,J48=1),AND(F48=3,J48=2),AND(F48=2,J48=1)),"Deficiencia de control (diseño o ejecución)",IF(AND(F48=2,J48=3),"Oportunidad de mejora","Mantenimiento del control"))))</f>
        <v>Deficiencia de control mayor (diseño y ejecución)</v>
      </c>
      <c r="L48" s="413">
        <f t="shared" ref="L48" si="5">+IF(K48="",0,IF(K48="Deficiencia de control mayor (diseño y ejecución)",4,IF(K48="Deficiencia de control (diseño o ejecución)",20,IF(K48="Oportunidad de mejora",40,60))))</f>
        <v>4</v>
      </c>
      <c r="M48" s="413">
        <v>6.6895999999999997E-2</v>
      </c>
      <c r="N48" s="439">
        <f t="shared" ref="N48" si="6">+L48+M48</f>
        <v>4.0668959999999998</v>
      </c>
      <c r="O48" s="417"/>
    </row>
    <row r="49" spans="2:15" s="18" customFormat="1" ht="16.5" x14ac:dyDescent="0.3">
      <c r="B49" s="403"/>
      <c r="C49" s="307"/>
      <c r="D49" s="299"/>
      <c r="E49" s="284"/>
      <c r="F49" s="323"/>
      <c r="G49" s="138">
        <v>2</v>
      </c>
      <c r="H49" s="284"/>
      <c r="I49" s="286"/>
      <c r="J49" s="320"/>
      <c r="K49" s="304"/>
      <c r="L49" s="413"/>
      <c r="M49" s="413"/>
      <c r="N49" s="439"/>
      <c r="O49" s="417"/>
    </row>
    <row r="50" spans="2:15" s="18" customFormat="1" ht="16.5" x14ac:dyDescent="0.3">
      <c r="B50" s="403"/>
      <c r="C50" s="307"/>
      <c r="D50" s="299"/>
      <c r="E50" s="284"/>
      <c r="F50" s="323"/>
      <c r="G50" s="138">
        <v>3</v>
      </c>
      <c r="H50" s="284"/>
      <c r="I50" s="286"/>
      <c r="J50" s="320"/>
      <c r="K50" s="304"/>
      <c r="L50" s="413"/>
      <c r="M50" s="413"/>
      <c r="N50" s="439"/>
      <c r="O50" s="417"/>
    </row>
    <row r="51" spans="2:15" s="18" customFormat="1" ht="16.5" x14ac:dyDescent="0.3">
      <c r="B51" s="403"/>
      <c r="C51" s="307"/>
      <c r="D51" s="299"/>
      <c r="E51" s="284"/>
      <c r="F51" s="323"/>
      <c r="G51" s="138">
        <v>4</v>
      </c>
      <c r="H51" s="284"/>
      <c r="I51" s="286"/>
      <c r="J51" s="320"/>
      <c r="K51" s="304"/>
      <c r="L51" s="413"/>
      <c r="M51" s="413"/>
      <c r="N51" s="439"/>
      <c r="O51" s="417"/>
    </row>
    <row r="52" spans="2:15" s="18" customFormat="1" ht="16.5" x14ac:dyDescent="0.3">
      <c r="B52" s="403"/>
      <c r="C52" s="307"/>
      <c r="D52" s="299"/>
      <c r="E52" s="284"/>
      <c r="F52" s="323"/>
      <c r="G52" s="138">
        <v>5</v>
      </c>
      <c r="H52" s="284"/>
      <c r="I52" s="286"/>
      <c r="J52" s="320"/>
      <c r="K52" s="304"/>
      <c r="L52" s="413"/>
      <c r="M52" s="413"/>
      <c r="N52" s="439"/>
      <c r="O52" s="417"/>
    </row>
    <row r="53" spans="2:15" s="18" customFormat="1" ht="16.5" x14ac:dyDescent="0.3">
      <c r="B53" s="403"/>
      <c r="C53" s="307"/>
      <c r="D53" s="299"/>
      <c r="E53" s="284"/>
      <c r="F53" s="323"/>
      <c r="G53" s="138">
        <v>6</v>
      </c>
      <c r="H53" s="284"/>
      <c r="I53" s="286"/>
      <c r="J53" s="320"/>
      <c r="K53" s="304"/>
      <c r="L53" s="413"/>
      <c r="M53" s="413"/>
      <c r="N53" s="439"/>
      <c r="O53" s="417"/>
    </row>
    <row r="54" spans="2:15" s="18" customFormat="1" ht="16.5" x14ac:dyDescent="0.3">
      <c r="B54" s="403"/>
      <c r="C54" s="307"/>
      <c r="D54" s="299"/>
      <c r="E54" s="284"/>
      <c r="F54" s="323"/>
      <c r="G54" s="138">
        <v>7</v>
      </c>
      <c r="H54" s="284"/>
      <c r="I54" s="286"/>
      <c r="J54" s="320"/>
      <c r="K54" s="304"/>
      <c r="L54" s="413"/>
      <c r="M54" s="413"/>
      <c r="N54" s="439"/>
      <c r="O54" s="417"/>
    </row>
    <row r="55" spans="2:15" s="18" customFormat="1" ht="55.5" customHeight="1" thickBot="1" x14ac:dyDescent="0.35">
      <c r="B55" s="404"/>
      <c r="C55" s="308"/>
      <c r="D55" s="300"/>
      <c r="E55" s="332"/>
      <c r="F55" s="324"/>
      <c r="G55" s="140">
        <v>8</v>
      </c>
      <c r="H55" s="332"/>
      <c r="I55" s="372"/>
      <c r="J55" s="321"/>
      <c r="K55" s="305"/>
      <c r="L55" s="413"/>
      <c r="M55" s="413"/>
      <c r="N55" s="439"/>
      <c r="O55" s="417"/>
    </row>
    <row r="56" spans="2:15" s="18" customFormat="1" ht="16.5" customHeight="1" x14ac:dyDescent="0.3">
      <c r="B56" s="402" t="str">
        <f>+LEFT(C56,3)</f>
        <v>1.4</v>
      </c>
      <c r="C56" s="376" t="s">
        <v>130</v>
      </c>
      <c r="D56" s="313" t="s">
        <v>131</v>
      </c>
      <c r="E56" s="424" t="s">
        <v>487</v>
      </c>
      <c r="F56" s="322">
        <v>3</v>
      </c>
      <c r="G56" s="141">
        <v>1</v>
      </c>
      <c r="H56" s="433" t="s">
        <v>582</v>
      </c>
      <c r="I56" s="285" t="s">
        <v>580</v>
      </c>
      <c r="J56" s="427">
        <v>2</v>
      </c>
      <c r="K56" s="430" t="str">
        <f t="shared" ref="K56" si="7">+IF(OR(ISBLANK(F56),ISBLANK(J56)),"",IF(OR(AND(F56=1,J56=1),AND(F56=1,J56=2),AND(F56=1,J56=3)),"Deficiencia de control mayor (diseño y ejecución)",IF(OR(AND(F56=2,J56=2),AND(F56=3,J56=1),AND(F56=3,J56=2),AND(F56=2,J56=1)),"Deficiencia de control (diseño o ejecución)",IF(AND(F56=2,J56=3),"Oportunidad de mejora","Mantenimiento del control"))))</f>
        <v>Deficiencia de control (diseño o ejecución)</v>
      </c>
      <c r="L56" s="413">
        <f t="shared" ref="L56" si="8">+IF(K56="",0,IF(K56="Deficiencia de control mayor (diseño y ejecución)",4,IF(K56="Deficiencia de control (diseño o ejecución)",20,IF(K56="Oportunidad de mejora",40,60))))</f>
        <v>20</v>
      </c>
      <c r="M56" s="413">
        <v>6.6909999999999997E-2</v>
      </c>
      <c r="N56" s="440">
        <f>+L56+M56</f>
        <v>20.06691</v>
      </c>
      <c r="O56" s="418"/>
    </row>
    <row r="57" spans="2:15" s="18" customFormat="1" ht="16.5" x14ac:dyDescent="0.3">
      <c r="B57" s="403"/>
      <c r="C57" s="377"/>
      <c r="D57" s="314"/>
      <c r="E57" s="425"/>
      <c r="F57" s="323"/>
      <c r="G57" s="138">
        <v>2</v>
      </c>
      <c r="H57" s="425"/>
      <c r="I57" s="286"/>
      <c r="J57" s="428"/>
      <c r="K57" s="431"/>
      <c r="L57" s="413"/>
      <c r="M57" s="413"/>
      <c r="N57" s="440"/>
      <c r="O57" s="418"/>
    </row>
    <row r="58" spans="2:15" s="18" customFormat="1" ht="16.5" x14ac:dyDescent="0.3">
      <c r="B58" s="403"/>
      <c r="C58" s="377"/>
      <c r="D58" s="314"/>
      <c r="E58" s="425"/>
      <c r="F58" s="323"/>
      <c r="G58" s="138">
        <v>3</v>
      </c>
      <c r="H58" s="425"/>
      <c r="I58" s="286"/>
      <c r="J58" s="428"/>
      <c r="K58" s="431"/>
      <c r="L58" s="413"/>
      <c r="M58" s="413"/>
      <c r="N58" s="440"/>
      <c r="O58" s="418"/>
    </row>
    <row r="59" spans="2:15" s="18" customFormat="1" ht="16.5" x14ac:dyDescent="0.3">
      <c r="B59" s="403"/>
      <c r="C59" s="377"/>
      <c r="D59" s="314"/>
      <c r="E59" s="425"/>
      <c r="F59" s="323"/>
      <c r="G59" s="138">
        <v>4</v>
      </c>
      <c r="H59" s="425"/>
      <c r="I59" s="286"/>
      <c r="J59" s="428"/>
      <c r="K59" s="431"/>
      <c r="L59" s="413"/>
      <c r="M59" s="413"/>
      <c r="N59" s="440"/>
      <c r="O59" s="418"/>
    </row>
    <row r="60" spans="2:15" s="18" customFormat="1" ht="16.5" x14ac:dyDescent="0.3">
      <c r="B60" s="403"/>
      <c r="C60" s="377"/>
      <c r="D60" s="314"/>
      <c r="E60" s="425"/>
      <c r="F60" s="323"/>
      <c r="G60" s="138">
        <v>5</v>
      </c>
      <c r="H60" s="425"/>
      <c r="I60" s="286"/>
      <c r="J60" s="428"/>
      <c r="K60" s="431"/>
      <c r="L60" s="413"/>
      <c r="M60" s="413"/>
      <c r="N60" s="440"/>
      <c r="O60" s="418"/>
    </row>
    <row r="61" spans="2:15" s="18" customFormat="1" ht="16.5" x14ac:dyDescent="0.3">
      <c r="B61" s="403"/>
      <c r="C61" s="377"/>
      <c r="D61" s="314"/>
      <c r="E61" s="425"/>
      <c r="F61" s="323"/>
      <c r="G61" s="138">
        <v>6</v>
      </c>
      <c r="H61" s="425"/>
      <c r="I61" s="286"/>
      <c r="J61" s="428"/>
      <c r="K61" s="431"/>
      <c r="L61" s="413"/>
      <c r="M61" s="413"/>
      <c r="N61" s="440"/>
      <c r="O61" s="418"/>
    </row>
    <row r="62" spans="2:15" s="18" customFormat="1" ht="16.5" x14ac:dyDescent="0.3">
      <c r="B62" s="403"/>
      <c r="C62" s="377"/>
      <c r="D62" s="314"/>
      <c r="E62" s="425"/>
      <c r="F62" s="323"/>
      <c r="G62" s="138">
        <v>7</v>
      </c>
      <c r="H62" s="425"/>
      <c r="I62" s="286"/>
      <c r="J62" s="428"/>
      <c r="K62" s="431"/>
      <c r="L62" s="413"/>
      <c r="M62" s="413"/>
      <c r="N62" s="440"/>
      <c r="O62" s="418"/>
    </row>
    <row r="63" spans="2:15" s="18" customFormat="1" ht="41.25" customHeight="1" thickBot="1" x14ac:dyDescent="0.35">
      <c r="B63" s="404"/>
      <c r="C63" s="378"/>
      <c r="D63" s="315"/>
      <c r="E63" s="426"/>
      <c r="F63" s="324"/>
      <c r="G63" s="140">
        <v>8</v>
      </c>
      <c r="H63" s="426"/>
      <c r="I63" s="372"/>
      <c r="J63" s="429"/>
      <c r="K63" s="432"/>
      <c r="L63" s="413"/>
      <c r="M63" s="413"/>
      <c r="N63" s="440"/>
      <c r="O63" s="418"/>
    </row>
    <row r="64" spans="2:15" ht="16.5" customHeight="1" x14ac:dyDescent="0.3">
      <c r="B64" s="402" t="str">
        <f>+LEFT(C64,3)</f>
        <v>1.5</v>
      </c>
      <c r="C64" s="306" t="s">
        <v>132</v>
      </c>
      <c r="D64" s="331" t="s">
        <v>133</v>
      </c>
      <c r="E64" s="276" t="s">
        <v>455</v>
      </c>
      <c r="F64" s="322">
        <v>3</v>
      </c>
      <c r="G64" s="141">
        <v>1</v>
      </c>
      <c r="H64" s="276" t="s">
        <v>583</v>
      </c>
      <c r="I64" s="388" t="s">
        <v>584</v>
      </c>
      <c r="J64" s="319">
        <v>3</v>
      </c>
      <c r="K64" s="394" t="str">
        <f t="shared" ref="K64" si="9">+IF(OR(ISBLANK(F64),ISBLANK(J64)),"",IF(OR(AND(F64=1,J64=1),AND(F64=1,J64=2),AND(F64=1,J64=3)),"Deficiencia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413">
        <f t="shared" ref="L64" si="10">+IF(K64="",0,IF(K64="Deficiencia de control mayor (diseño y ejecución)",4,IF(K64="Deficiencia de control (diseño o ejecución)",20,IF(K64="Oportunidad de mejora",40,60))))</f>
        <v>60</v>
      </c>
      <c r="M64" s="413">
        <v>7.3568999999999996E-2</v>
      </c>
      <c r="N64" s="438">
        <f t="shared" ref="N64" si="11">+L64+M64</f>
        <v>60.073568999999999</v>
      </c>
      <c r="O64" s="415"/>
    </row>
    <row r="65" spans="2:15" s="18" customFormat="1" ht="16.5" x14ac:dyDescent="0.3">
      <c r="B65" s="403"/>
      <c r="C65" s="307"/>
      <c r="D65" s="299"/>
      <c r="E65" s="277"/>
      <c r="F65" s="323"/>
      <c r="G65" s="138">
        <v>2</v>
      </c>
      <c r="H65" s="277"/>
      <c r="I65" s="389"/>
      <c r="J65" s="320"/>
      <c r="K65" s="304"/>
      <c r="L65" s="413"/>
      <c r="M65" s="413"/>
      <c r="N65" s="438"/>
      <c r="O65" s="415"/>
    </row>
    <row r="66" spans="2:15" s="18" customFormat="1" ht="16.5" x14ac:dyDescent="0.3">
      <c r="B66" s="403"/>
      <c r="C66" s="307"/>
      <c r="D66" s="299"/>
      <c r="E66" s="277"/>
      <c r="F66" s="323"/>
      <c r="G66" s="138">
        <v>3</v>
      </c>
      <c r="H66" s="277"/>
      <c r="I66" s="389"/>
      <c r="J66" s="320"/>
      <c r="K66" s="304"/>
      <c r="L66" s="413"/>
      <c r="M66" s="413"/>
      <c r="N66" s="438"/>
      <c r="O66" s="415"/>
    </row>
    <row r="67" spans="2:15" s="18" customFormat="1" ht="16.5" x14ac:dyDescent="0.3">
      <c r="B67" s="403"/>
      <c r="C67" s="307"/>
      <c r="D67" s="299"/>
      <c r="E67" s="277"/>
      <c r="F67" s="323"/>
      <c r="G67" s="138">
        <v>4</v>
      </c>
      <c r="H67" s="277"/>
      <c r="I67" s="389"/>
      <c r="J67" s="320"/>
      <c r="K67" s="304"/>
      <c r="L67" s="413"/>
      <c r="M67" s="413"/>
      <c r="N67" s="438"/>
      <c r="O67" s="415"/>
    </row>
    <row r="68" spans="2:15" s="18" customFormat="1" ht="16.5" x14ac:dyDescent="0.3">
      <c r="B68" s="403"/>
      <c r="C68" s="307"/>
      <c r="D68" s="299"/>
      <c r="E68" s="277"/>
      <c r="F68" s="323"/>
      <c r="G68" s="138">
        <v>5</v>
      </c>
      <c r="H68" s="277"/>
      <c r="I68" s="389"/>
      <c r="J68" s="320"/>
      <c r="K68" s="304"/>
      <c r="L68" s="413"/>
      <c r="M68" s="413"/>
      <c r="N68" s="438"/>
      <c r="O68" s="415"/>
    </row>
    <row r="69" spans="2:15" s="18" customFormat="1" ht="16.5" x14ac:dyDescent="0.3">
      <c r="B69" s="403"/>
      <c r="C69" s="307"/>
      <c r="D69" s="299"/>
      <c r="E69" s="277"/>
      <c r="F69" s="323"/>
      <c r="G69" s="138">
        <v>6</v>
      </c>
      <c r="H69" s="277"/>
      <c r="I69" s="389"/>
      <c r="J69" s="320"/>
      <c r="K69" s="304"/>
      <c r="L69" s="413"/>
      <c r="M69" s="413"/>
      <c r="N69" s="438"/>
      <c r="O69" s="415"/>
    </row>
    <row r="70" spans="2:15" s="18" customFormat="1" ht="16.5" x14ac:dyDescent="0.3">
      <c r="B70" s="403"/>
      <c r="C70" s="307"/>
      <c r="D70" s="299"/>
      <c r="E70" s="277"/>
      <c r="F70" s="323"/>
      <c r="G70" s="138">
        <v>7</v>
      </c>
      <c r="H70" s="277"/>
      <c r="I70" s="389"/>
      <c r="J70" s="320"/>
      <c r="K70" s="304"/>
      <c r="L70" s="413"/>
      <c r="M70" s="413"/>
      <c r="N70" s="438"/>
      <c r="O70" s="415"/>
    </row>
    <row r="71" spans="2:15" s="18" customFormat="1" ht="30" customHeight="1" thickBot="1" x14ac:dyDescent="0.35">
      <c r="B71" s="404"/>
      <c r="C71" s="308"/>
      <c r="D71" s="300"/>
      <c r="E71" s="278"/>
      <c r="F71" s="324"/>
      <c r="G71" s="140">
        <v>8</v>
      </c>
      <c r="H71" s="278"/>
      <c r="I71" s="390"/>
      <c r="J71" s="321"/>
      <c r="K71" s="305"/>
      <c r="L71" s="413"/>
      <c r="M71" s="413"/>
      <c r="N71" s="438"/>
      <c r="O71" s="415"/>
    </row>
    <row r="72" spans="2:15" ht="36.75" customHeight="1" x14ac:dyDescent="0.3">
      <c r="B72" s="405"/>
      <c r="C72" s="361" t="s">
        <v>134</v>
      </c>
      <c r="D72" s="359" t="s">
        <v>8</v>
      </c>
      <c r="E72" s="350" t="s">
        <v>113</v>
      </c>
      <c r="F72" s="354" t="s">
        <v>114</v>
      </c>
      <c r="G72" s="293" t="s">
        <v>115</v>
      </c>
      <c r="H72" s="294"/>
      <c r="I72" s="295"/>
      <c r="J72" s="354" t="s">
        <v>116</v>
      </c>
      <c r="K72" s="395" t="s">
        <v>135</v>
      </c>
      <c r="L72" s="414"/>
      <c r="M72" s="414"/>
      <c r="N72" s="441"/>
      <c r="O72" s="416"/>
    </row>
    <row r="73" spans="2:15" ht="29.25" customHeight="1" x14ac:dyDescent="0.3">
      <c r="B73" s="405"/>
      <c r="C73" s="361"/>
      <c r="D73" s="349"/>
      <c r="E73" s="351"/>
      <c r="F73" s="354"/>
      <c r="G73" s="356" t="s">
        <v>13</v>
      </c>
      <c r="H73" s="358" t="s">
        <v>15</v>
      </c>
      <c r="I73" s="296" t="s">
        <v>136</v>
      </c>
      <c r="J73" s="354"/>
      <c r="K73" s="395"/>
      <c r="L73" s="414"/>
      <c r="M73" s="414"/>
      <c r="N73" s="441"/>
      <c r="O73" s="416"/>
    </row>
    <row r="74" spans="2:15" ht="45.75" customHeight="1" thickBot="1" x14ac:dyDescent="0.35">
      <c r="B74" s="406"/>
      <c r="C74" s="362"/>
      <c r="D74" s="360"/>
      <c r="E74" s="297"/>
      <c r="F74" s="355"/>
      <c r="G74" s="357"/>
      <c r="H74" s="296"/>
      <c r="I74" s="297"/>
      <c r="J74" s="355"/>
      <c r="K74" s="396"/>
      <c r="L74" s="414"/>
      <c r="M74" s="414"/>
      <c r="N74" s="441"/>
      <c r="O74" s="416"/>
    </row>
    <row r="75" spans="2:15" s="18" customFormat="1" ht="21" customHeight="1" x14ac:dyDescent="0.3">
      <c r="B75" s="402" t="str">
        <f>+LEFT(C75,3)</f>
        <v>2.1</v>
      </c>
      <c r="C75" s="306" t="s">
        <v>137</v>
      </c>
      <c r="D75" s="313" t="s">
        <v>138</v>
      </c>
      <c r="E75" s="279" t="s">
        <v>488</v>
      </c>
      <c r="F75" s="322">
        <v>3</v>
      </c>
      <c r="G75" s="141">
        <v>1</v>
      </c>
      <c r="H75" s="366" t="s">
        <v>532</v>
      </c>
      <c r="I75" s="366" t="s">
        <v>585</v>
      </c>
      <c r="J75" s="319">
        <v>3</v>
      </c>
      <c r="K75" s="394" t="str">
        <f t="shared" ref="K75" si="12">+IF(OR(ISBLANK(F75),ISBLANK(J75)),"",IF(OR(AND(F75=1,J75=1),AND(F75=1,J75=2),AND(F75=1,J75=3)),"Deficiencia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413">
        <f t="shared" ref="L75:L91" si="13">+IF(K75="",0,IF(K75="Deficiencia de control mayor (diseño y ejecución)",4,IF(K75="Deficiencia de control (diseño o ejecución)",20,IF(K75="Oportunidad de mejora",40,60))))</f>
        <v>60</v>
      </c>
      <c r="M75" s="413">
        <v>8.8965299999999997E-2</v>
      </c>
      <c r="N75" s="438">
        <f>+L75+M75</f>
        <v>60.088965299999998</v>
      </c>
      <c r="O75" s="415"/>
    </row>
    <row r="76" spans="2:15" s="18" customFormat="1" ht="21" customHeight="1" x14ac:dyDescent="0.3">
      <c r="B76" s="403"/>
      <c r="C76" s="307"/>
      <c r="D76" s="314"/>
      <c r="E76" s="284"/>
      <c r="F76" s="323"/>
      <c r="G76" s="138">
        <v>2</v>
      </c>
      <c r="H76" s="367"/>
      <c r="I76" s="367"/>
      <c r="J76" s="320"/>
      <c r="K76" s="304"/>
      <c r="L76" s="413"/>
      <c r="M76" s="413"/>
      <c r="N76" s="438"/>
      <c r="O76" s="415"/>
    </row>
    <row r="77" spans="2:15" s="18" customFormat="1" ht="21" customHeight="1" x14ac:dyDescent="0.3">
      <c r="B77" s="403"/>
      <c r="C77" s="307"/>
      <c r="D77" s="314"/>
      <c r="E77" s="284"/>
      <c r="F77" s="323"/>
      <c r="G77" s="138">
        <v>3</v>
      </c>
      <c r="H77" s="367"/>
      <c r="I77" s="367"/>
      <c r="J77" s="320"/>
      <c r="K77" s="304"/>
      <c r="L77" s="413"/>
      <c r="M77" s="413"/>
      <c r="N77" s="438"/>
      <c r="O77" s="415"/>
    </row>
    <row r="78" spans="2:15" s="18" customFormat="1" ht="14.25" customHeight="1" x14ac:dyDescent="0.3">
      <c r="B78" s="403"/>
      <c r="C78" s="307"/>
      <c r="D78" s="314"/>
      <c r="E78" s="284"/>
      <c r="F78" s="323"/>
      <c r="G78" s="138">
        <v>4</v>
      </c>
      <c r="H78" s="367"/>
      <c r="I78" s="367"/>
      <c r="J78" s="320"/>
      <c r="K78" s="304"/>
      <c r="L78" s="413"/>
      <c r="M78" s="413"/>
      <c r="N78" s="438"/>
      <c r="O78" s="415"/>
    </row>
    <row r="79" spans="2:15" s="18" customFormat="1" ht="21" hidden="1" customHeight="1" thickBot="1" x14ac:dyDescent="0.35">
      <c r="B79" s="403"/>
      <c r="C79" s="307"/>
      <c r="D79" s="314"/>
      <c r="E79" s="284"/>
      <c r="F79" s="323"/>
      <c r="G79" s="138">
        <v>5</v>
      </c>
      <c r="H79" s="367"/>
      <c r="I79" s="367"/>
      <c r="J79" s="320"/>
      <c r="K79" s="304"/>
      <c r="L79" s="413"/>
      <c r="M79" s="413"/>
      <c r="N79" s="438"/>
      <c r="O79" s="415"/>
    </row>
    <row r="80" spans="2:15" s="18" customFormat="1" ht="11.25" hidden="1" customHeight="1" thickBot="1" x14ac:dyDescent="0.35">
      <c r="B80" s="403"/>
      <c r="C80" s="307"/>
      <c r="D80" s="314"/>
      <c r="E80" s="284"/>
      <c r="F80" s="323"/>
      <c r="G80" s="138">
        <v>6</v>
      </c>
      <c r="H80" s="367"/>
      <c r="I80" s="367"/>
      <c r="J80" s="320"/>
      <c r="K80" s="304"/>
      <c r="L80" s="413"/>
      <c r="M80" s="413"/>
      <c r="N80" s="438"/>
      <c r="O80" s="415"/>
    </row>
    <row r="81" spans="2:15" s="18" customFormat="1" ht="21" hidden="1" customHeight="1" thickBot="1" x14ac:dyDescent="0.35">
      <c r="B81" s="403"/>
      <c r="C81" s="307"/>
      <c r="D81" s="314"/>
      <c r="E81" s="284"/>
      <c r="F81" s="323"/>
      <c r="G81" s="138">
        <v>7</v>
      </c>
      <c r="H81" s="367"/>
      <c r="I81" s="367"/>
      <c r="J81" s="320"/>
      <c r="K81" s="304"/>
      <c r="L81" s="413"/>
      <c r="M81" s="413"/>
      <c r="N81" s="438"/>
      <c r="O81" s="415"/>
    </row>
    <row r="82" spans="2:15" s="18" customFormat="1" ht="29.25" customHeight="1" thickBot="1" x14ac:dyDescent="0.35">
      <c r="B82" s="404"/>
      <c r="C82" s="308"/>
      <c r="D82" s="315"/>
      <c r="E82" s="332"/>
      <c r="F82" s="324"/>
      <c r="G82" s="140">
        <v>8</v>
      </c>
      <c r="H82" s="368"/>
      <c r="I82" s="368"/>
      <c r="J82" s="321"/>
      <c r="K82" s="305"/>
      <c r="L82" s="413"/>
      <c r="M82" s="413"/>
      <c r="N82" s="438"/>
      <c r="O82" s="415"/>
    </row>
    <row r="83" spans="2:15" s="18" customFormat="1" ht="16.5" x14ac:dyDescent="0.3">
      <c r="B83" s="402" t="str">
        <f>+LEFT(C83,3)</f>
        <v>2.2</v>
      </c>
      <c r="C83" s="434" t="s">
        <v>139</v>
      </c>
      <c r="D83" s="313" t="s">
        <v>140</v>
      </c>
      <c r="E83" s="274" t="s">
        <v>586</v>
      </c>
      <c r="F83" s="322">
        <v>3</v>
      </c>
      <c r="G83" s="141">
        <v>1</v>
      </c>
      <c r="H83" s="274" t="s">
        <v>534</v>
      </c>
      <c r="I83" s="366" t="s">
        <v>587</v>
      </c>
      <c r="J83" s="319">
        <v>3</v>
      </c>
      <c r="K83" s="394" t="str">
        <f t="shared" ref="K83" si="14">+IF(OR(ISBLANK(F83),ISBLANK(J83)),"",IF(OR(AND(F83=1,J83=1),AND(F83=1,J83=2),AND(F83=1,J83=3)),"Deficiencia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413">
        <f t="shared" si="13"/>
        <v>60</v>
      </c>
      <c r="M83" s="413">
        <v>9.8965300000000006E-2</v>
      </c>
      <c r="N83" s="438">
        <f t="shared" ref="N83:N91" si="15">+L83+M83</f>
        <v>60.098965300000003</v>
      </c>
      <c r="O83" s="415"/>
    </row>
    <row r="84" spans="2:15" s="18" customFormat="1" ht="16.5" x14ac:dyDescent="0.3">
      <c r="B84" s="403"/>
      <c r="C84" s="435"/>
      <c r="D84" s="314"/>
      <c r="E84" s="352"/>
      <c r="F84" s="323"/>
      <c r="G84" s="138">
        <v>2</v>
      </c>
      <c r="H84" s="352"/>
      <c r="I84" s="367"/>
      <c r="J84" s="320"/>
      <c r="K84" s="304"/>
      <c r="L84" s="413"/>
      <c r="M84" s="413"/>
      <c r="N84" s="438"/>
      <c r="O84" s="415"/>
    </row>
    <row r="85" spans="2:15" s="18" customFormat="1" ht="16.5" x14ac:dyDescent="0.3">
      <c r="B85" s="403"/>
      <c r="C85" s="435"/>
      <c r="D85" s="314"/>
      <c r="E85" s="352"/>
      <c r="F85" s="323"/>
      <c r="G85" s="138">
        <v>3</v>
      </c>
      <c r="H85" s="352"/>
      <c r="I85" s="367"/>
      <c r="J85" s="320"/>
      <c r="K85" s="304"/>
      <c r="L85" s="413"/>
      <c r="M85" s="413"/>
      <c r="N85" s="438"/>
      <c r="O85" s="415"/>
    </row>
    <row r="86" spans="2:15" s="18" customFormat="1" ht="16.5" x14ac:dyDescent="0.3">
      <c r="B86" s="403"/>
      <c r="C86" s="435"/>
      <c r="D86" s="314"/>
      <c r="E86" s="352"/>
      <c r="F86" s="323"/>
      <c r="G86" s="138">
        <v>4</v>
      </c>
      <c r="H86" s="352"/>
      <c r="I86" s="367"/>
      <c r="J86" s="320"/>
      <c r="K86" s="304"/>
      <c r="L86" s="413"/>
      <c r="M86" s="413"/>
      <c r="N86" s="438"/>
      <c r="O86" s="415"/>
    </row>
    <row r="87" spans="2:15" s="18" customFormat="1" ht="16.5" x14ac:dyDescent="0.3">
      <c r="B87" s="403"/>
      <c r="C87" s="435"/>
      <c r="D87" s="314"/>
      <c r="E87" s="352"/>
      <c r="F87" s="323"/>
      <c r="G87" s="138">
        <v>5</v>
      </c>
      <c r="H87" s="352"/>
      <c r="I87" s="367"/>
      <c r="J87" s="320"/>
      <c r="K87" s="304"/>
      <c r="L87" s="413"/>
      <c r="M87" s="413"/>
      <c r="N87" s="438"/>
      <c r="O87" s="415"/>
    </row>
    <row r="88" spans="2:15" s="18" customFormat="1" ht="16.5" x14ac:dyDescent="0.3">
      <c r="B88" s="403"/>
      <c r="C88" s="435"/>
      <c r="D88" s="314"/>
      <c r="E88" s="352"/>
      <c r="F88" s="323"/>
      <c r="G88" s="138">
        <v>6</v>
      </c>
      <c r="H88" s="352"/>
      <c r="I88" s="367"/>
      <c r="J88" s="320"/>
      <c r="K88" s="304"/>
      <c r="L88" s="413"/>
      <c r="M88" s="413"/>
      <c r="N88" s="438"/>
      <c r="O88" s="415"/>
    </row>
    <row r="89" spans="2:15" s="18" customFormat="1" ht="14.25" customHeight="1" x14ac:dyDescent="0.3">
      <c r="B89" s="403"/>
      <c r="C89" s="435"/>
      <c r="D89" s="314"/>
      <c r="E89" s="352"/>
      <c r="F89" s="323"/>
      <c r="G89" s="138">
        <v>7</v>
      </c>
      <c r="H89" s="352"/>
      <c r="I89" s="367"/>
      <c r="J89" s="320"/>
      <c r="K89" s="304"/>
      <c r="L89" s="413"/>
      <c r="M89" s="413"/>
      <c r="N89" s="438"/>
      <c r="O89" s="415"/>
    </row>
    <row r="90" spans="2:15" s="18" customFormat="1" ht="100.5" customHeight="1" thickBot="1" x14ac:dyDescent="0.35">
      <c r="B90" s="404"/>
      <c r="C90" s="436"/>
      <c r="D90" s="315"/>
      <c r="E90" s="353"/>
      <c r="F90" s="324"/>
      <c r="G90" s="140">
        <v>8</v>
      </c>
      <c r="H90" s="353"/>
      <c r="I90" s="368"/>
      <c r="J90" s="321"/>
      <c r="K90" s="305"/>
      <c r="L90" s="413"/>
      <c r="M90" s="413"/>
      <c r="N90" s="438"/>
      <c r="O90" s="415"/>
    </row>
    <row r="91" spans="2:15" ht="21" customHeight="1" x14ac:dyDescent="0.3">
      <c r="B91" s="402" t="str">
        <f>+LEFT(C91,3)</f>
        <v>2.3</v>
      </c>
      <c r="C91" s="306" t="s">
        <v>141</v>
      </c>
      <c r="D91" s="313" t="s">
        <v>142</v>
      </c>
      <c r="E91" s="274" t="s">
        <v>533</v>
      </c>
      <c r="F91" s="322">
        <v>3</v>
      </c>
      <c r="G91" s="141">
        <v>1</v>
      </c>
      <c r="H91" s="274" t="s">
        <v>534</v>
      </c>
      <c r="I91" s="391" t="s">
        <v>535</v>
      </c>
      <c r="J91" s="319">
        <v>3</v>
      </c>
      <c r="K91" s="394" t="str">
        <f t="shared" ref="K91" si="16">+IF(OR(ISBLANK(F91),ISBLANK(J91)),"",IF(OR(AND(F91=1,J91=1),AND(F91=1,J91=2),AND(F91=1,J91=3)),"Deficiencia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413">
        <f t="shared" si="13"/>
        <v>60</v>
      </c>
      <c r="M91" s="413">
        <v>0.15698000000000001</v>
      </c>
      <c r="N91" s="438">
        <f t="shared" si="15"/>
        <v>60.156979999999997</v>
      </c>
      <c r="O91" s="415"/>
    </row>
    <row r="92" spans="2:15" s="18" customFormat="1" ht="21" customHeight="1" x14ac:dyDescent="0.3">
      <c r="B92" s="403"/>
      <c r="C92" s="307"/>
      <c r="D92" s="314"/>
      <c r="E92" s="352"/>
      <c r="F92" s="323"/>
      <c r="G92" s="138">
        <v>2</v>
      </c>
      <c r="H92" s="284"/>
      <c r="I92" s="342"/>
      <c r="J92" s="320"/>
      <c r="K92" s="304"/>
      <c r="L92" s="413"/>
      <c r="M92" s="413"/>
      <c r="N92" s="438"/>
      <c r="O92" s="415"/>
    </row>
    <row r="93" spans="2:15" s="18" customFormat="1" ht="21" customHeight="1" x14ac:dyDescent="0.3">
      <c r="B93" s="403"/>
      <c r="C93" s="307"/>
      <c r="D93" s="314"/>
      <c r="E93" s="352"/>
      <c r="F93" s="323"/>
      <c r="G93" s="138">
        <v>3</v>
      </c>
      <c r="H93" s="284"/>
      <c r="I93" s="342"/>
      <c r="J93" s="320"/>
      <c r="K93" s="304"/>
      <c r="L93" s="413"/>
      <c r="M93" s="413"/>
      <c r="N93" s="438"/>
      <c r="O93" s="415"/>
    </row>
    <row r="94" spans="2:15" s="18" customFormat="1" ht="21" customHeight="1" x14ac:dyDescent="0.3">
      <c r="B94" s="403"/>
      <c r="C94" s="307"/>
      <c r="D94" s="314"/>
      <c r="E94" s="352"/>
      <c r="F94" s="323"/>
      <c r="G94" s="138">
        <v>4</v>
      </c>
      <c r="H94" s="284"/>
      <c r="I94" s="342"/>
      <c r="J94" s="320"/>
      <c r="K94" s="304"/>
      <c r="L94" s="413"/>
      <c r="M94" s="413"/>
      <c r="N94" s="438"/>
      <c r="O94" s="415"/>
    </row>
    <row r="95" spans="2:15" s="18" customFormat="1" ht="73.5" customHeight="1" x14ac:dyDescent="0.3">
      <c r="B95" s="403"/>
      <c r="C95" s="307"/>
      <c r="D95" s="314"/>
      <c r="E95" s="352"/>
      <c r="F95" s="323"/>
      <c r="G95" s="138">
        <v>5</v>
      </c>
      <c r="H95" s="284"/>
      <c r="I95" s="342"/>
      <c r="J95" s="320"/>
      <c r="K95" s="304"/>
      <c r="L95" s="413"/>
      <c r="M95" s="413"/>
      <c r="N95" s="438"/>
      <c r="O95" s="415"/>
    </row>
    <row r="96" spans="2:15" s="18" customFormat="1" ht="6" customHeight="1" x14ac:dyDescent="0.3">
      <c r="B96" s="403"/>
      <c r="C96" s="307"/>
      <c r="D96" s="314"/>
      <c r="E96" s="352"/>
      <c r="F96" s="323"/>
      <c r="G96" s="138">
        <v>6</v>
      </c>
      <c r="H96" s="284"/>
      <c r="I96" s="342"/>
      <c r="J96" s="320"/>
      <c r="K96" s="304"/>
      <c r="L96" s="413"/>
      <c r="M96" s="413"/>
      <c r="N96" s="438"/>
      <c r="O96" s="415"/>
    </row>
    <row r="97" spans="2:15" s="18" customFormat="1" ht="21" hidden="1" customHeight="1" thickBot="1" x14ac:dyDescent="0.35">
      <c r="B97" s="403"/>
      <c r="C97" s="307"/>
      <c r="D97" s="314"/>
      <c r="E97" s="352"/>
      <c r="F97" s="323"/>
      <c r="G97" s="138">
        <v>7</v>
      </c>
      <c r="H97" s="284"/>
      <c r="I97" s="342"/>
      <c r="J97" s="320"/>
      <c r="K97" s="304"/>
      <c r="L97" s="413"/>
      <c r="M97" s="413"/>
      <c r="N97" s="438"/>
      <c r="O97" s="415"/>
    </row>
    <row r="98" spans="2:15" s="18" customFormat="1" ht="14.25" customHeight="1" thickBot="1" x14ac:dyDescent="0.35">
      <c r="B98" s="404"/>
      <c r="C98" s="308"/>
      <c r="D98" s="315"/>
      <c r="E98" s="353"/>
      <c r="F98" s="324"/>
      <c r="G98" s="140">
        <v>8</v>
      </c>
      <c r="H98" s="332"/>
      <c r="I98" s="343"/>
      <c r="J98" s="321"/>
      <c r="K98" s="305"/>
      <c r="L98" s="413"/>
      <c r="M98" s="413"/>
      <c r="N98" s="438"/>
      <c r="O98" s="415"/>
    </row>
    <row r="99" spans="2:15" ht="23.25" customHeight="1" x14ac:dyDescent="0.3">
      <c r="B99" s="408"/>
      <c r="C99" s="361" t="s">
        <v>143</v>
      </c>
      <c r="D99" s="359" t="s">
        <v>8</v>
      </c>
      <c r="E99" s="350" t="s">
        <v>113</v>
      </c>
      <c r="F99" s="354" t="s">
        <v>114</v>
      </c>
      <c r="G99" s="293" t="s">
        <v>115</v>
      </c>
      <c r="H99" s="294"/>
      <c r="I99" s="295"/>
      <c r="J99" s="354" t="s">
        <v>116</v>
      </c>
      <c r="K99" s="395" t="s">
        <v>135</v>
      </c>
      <c r="L99" s="414"/>
      <c r="M99" s="414"/>
      <c r="N99" s="441"/>
      <c r="O99" s="416"/>
    </row>
    <row r="100" spans="2:15" ht="42" customHeight="1" x14ac:dyDescent="0.3">
      <c r="B100" s="408"/>
      <c r="C100" s="361"/>
      <c r="D100" s="349"/>
      <c r="E100" s="351"/>
      <c r="F100" s="354"/>
      <c r="G100" s="356" t="s">
        <v>13</v>
      </c>
      <c r="H100" s="358" t="s">
        <v>15</v>
      </c>
      <c r="I100" s="296" t="s">
        <v>136</v>
      </c>
      <c r="J100" s="354"/>
      <c r="K100" s="395"/>
      <c r="L100" s="414"/>
      <c r="M100" s="414"/>
      <c r="N100" s="441"/>
      <c r="O100" s="416"/>
    </row>
    <row r="101" spans="2:15" ht="87.75" customHeight="1" thickBot="1" x14ac:dyDescent="0.35">
      <c r="B101" s="409"/>
      <c r="C101" s="362"/>
      <c r="D101" s="360"/>
      <c r="E101" s="297"/>
      <c r="F101" s="355"/>
      <c r="G101" s="357"/>
      <c r="H101" s="296"/>
      <c r="I101" s="297"/>
      <c r="J101" s="355"/>
      <c r="K101" s="396"/>
      <c r="L101" s="414"/>
      <c r="M101" s="414"/>
      <c r="N101" s="441"/>
      <c r="O101" s="416"/>
    </row>
    <row r="102" spans="2:15" s="18" customFormat="1" ht="16.5" x14ac:dyDescent="0.3">
      <c r="B102" s="402" t="str">
        <f>+LEFT(C102,3)</f>
        <v>3.1</v>
      </c>
      <c r="C102" s="306" t="s">
        <v>144</v>
      </c>
      <c r="D102" s="313" t="s">
        <v>145</v>
      </c>
      <c r="E102" s="276" t="s">
        <v>489</v>
      </c>
      <c r="F102" s="322">
        <v>3</v>
      </c>
      <c r="G102" s="141">
        <v>1</v>
      </c>
      <c r="H102" s="326" t="s">
        <v>444</v>
      </c>
      <c r="I102" s="391" t="s">
        <v>536</v>
      </c>
      <c r="J102" s="319">
        <v>2</v>
      </c>
      <c r="K102" s="394" t="str">
        <f t="shared" ref="K102:K118" si="17">+IF(OR(ISBLANK(F102),ISBLANK(J102)),"",IF(OR(AND(F102=1,J102=1),AND(F102=1,J102=2),AND(F102=1,J102=3)),"Deficiencia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Deficiencia de control (diseño o ejecución)</v>
      </c>
      <c r="L102" s="413">
        <f t="shared" ref="L102:L118" si="18">+IF(K102="",0,IF(K102="Deficiencia de control mayor (diseño y ejecución)",4,IF(K102="Deficiencia de control (diseño o ejecución)",20,IF(K102="Oportunidad de mejora",40,60))))</f>
        <v>20</v>
      </c>
      <c r="M102" s="413">
        <v>0.28965000000000002</v>
      </c>
      <c r="N102" s="438">
        <f t="shared" ref="N102:N118" si="19">+L102+M102</f>
        <v>20.289650000000002</v>
      </c>
      <c r="O102" s="415"/>
    </row>
    <row r="103" spans="2:15" s="18" customFormat="1" ht="16.5" x14ac:dyDescent="0.3">
      <c r="B103" s="403"/>
      <c r="C103" s="307"/>
      <c r="D103" s="314"/>
      <c r="E103" s="277"/>
      <c r="F103" s="323"/>
      <c r="G103" s="138">
        <v>2</v>
      </c>
      <c r="H103" s="327"/>
      <c r="I103" s="422"/>
      <c r="J103" s="320"/>
      <c r="K103" s="304"/>
      <c r="L103" s="413"/>
      <c r="M103" s="413"/>
      <c r="N103" s="438"/>
      <c r="O103" s="415"/>
    </row>
    <row r="104" spans="2:15" s="18" customFormat="1" ht="16.5" x14ac:dyDescent="0.3">
      <c r="B104" s="403"/>
      <c r="C104" s="307"/>
      <c r="D104" s="314"/>
      <c r="E104" s="277"/>
      <c r="F104" s="323"/>
      <c r="G104" s="138">
        <v>3</v>
      </c>
      <c r="H104" s="327"/>
      <c r="I104" s="422"/>
      <c r="J104" s="320"/>
      <c r="K104" s="304"/>
      <c r="L104" s="413"/>
      <c r="M104" s="413"/>
      <c r="N104" s="438"/>
      <c r="O104" s="415"/>
    </row>
    <row r="105" spans="2:15" s="18" customFormat="1" ht="16.5" x14ac:dyDescent="0.3">
      <c r="B105" s="403"/>
      <c r="C105" s="307"/>
      <c r="D105" s="314"/>
      <c r="E105" s="277"/>
      <c r="F105" s="323"/>
      <c r="G105" s="138">
        <v>4</v>
      </c>
      <c r="H105" s="327"/>
      <c r="I105" s="422"/>
      <c r="J105" s="320"/>
      <c r="K105" s="304"/>
      <c r="L105" s="413"/>
      <c r="M105" s="413"/>
      <c r="N105" s="438"/>
      <c r="O105" s="415"/>
    </row>
    <row r="106" spans="2:15" s="18" customFormat="1" ht="16.5" x14ac:dyDescent="0.3">
      <c r="B106" s="403"/>
      <c r="C106" s="307"/>
      <c r="D106" s="314"/>
      <c r="E106" s="277"/>
      <c r="F106" s="323"/>
      <c r="G106" s="138">
        <v>5</v>
      </c>
      <c r="H106" s="327"/>
      <c r="I106" s="422"/>
      <c r="J106" s="320"/>
      <c r="K106" s="304"/>
      <c r="L106" s="413"/>
      <c r="M106" s="413"/>
      <c r="N106" s="438"/>
      <c r="O106" s="415"/>
    </row>
    <row r="107" spans="2:15" s="18" customFormat="1" ht="16.5" x14ac:dyDescent="0.3">
      <c r="B107" s="403"/>
      <c r="C107" s="307"/>
      <c r="D107" s="314"/>
      <c r="E107" s="277"/>
      <c r="F107" s="323"/>
      <c r="G107" s="138">
        <v>6</v>
      </c>
      <c r="H107" s="327"/>
      <c r="I107" s="422"/>
      <c r="J107" s="320"/>
      <c r="K107" s="304"/>
      <c r="L107" s="413"/>
      <c r="M107" s="413"/>
      <c r="N107" s="438"/>
      <c r="O107" s="415"/>
    </row>
    <row r="108" spans="2:15" s="18" customFormat="1" ht="16.5" x14ac:dyDescent="0.3">
      <c r="B108" s="403"/>
      <c r="C108" s="307"/>
      <c r="D108" s="314"/>
      <c r="E108" s="277"/>
      <c r="F108" s="323"/>
      <c r="G108" s="138">
        <v>7</v>
      </c>
      <c r="H108" s="327"/>
      <c r="I108" s="422"/>
      <c r="J108" s="320"/>
      <c r="K108" s="304"/>
      <c r="L108" s="413"/>
      <c r="M108" s="413"/>
      <c r="N108" s="438"/>
      <c r="O108" s="415"/>
    </row>
    <row r="109" spans="2:15" s="18" customFormat="1" ht="38.25" customHeight="1" thickBot="1" x14ac:dyDescent="0.35">
      <c r="B109" s="404"/>
      <c r="C109" s="308"/>
      <c r="D109" s="315"/>
      <c r="E109" s="278"/>
      <c r="F109" s="324"/>
      <c r="G109" s="140">
        <v>8</v>
      </c>
      <c r="H109" s="328"/>
      <c r="I109" s="423"/>
      <c r="J109" s="321"/>
      <c r="K109" s="305"/>
      <c r="L109" s="413"/>
      <c r="M109" s="413"/>
      <c r="N109" s="438"/>
      <c r="O109" s="415"/>
    </row>
    <row r="110" spans="2:15" s="18" customFormat="1" ht="16.5" x14ac:dyDescent="0.3">
      <c r="B110" s="402" t="str">
        <f>+LEFT(C110,3)</f>
        <v>3.2</v>
      </c>
      <c r="C110" s="316" t="s">
        <v>146</v>
      </c>
      <c r="D110" s="313" t="s">
        <v>147</v>
      </c>
      <c r="E110" s="276" t="s">
        <v>588</v>
      </c>
      <c r="F110" s="322">
        <v>3</v>
      </c>
      <c r="G110" s="141">
        <v>1</v>
      </c>
      <c r="H110" s="326" t="s">
        <v>589</v>
      </c>
      <c r="I110" s="326" t="s">
        <v>590</v>
      </c>
      <c r="J110" s="319">
        <v>3</v>
      </c>
      <c r="K110" s="394" t="str">
        <f t="shared" si="17"/>
        <v>Mantenimiento del control</v>
      </c>
      <c r="L110" s="413">
        <f t="shared" si="18"/>
        <v>60</v>
      </c>
      <c r="M110" s="413">
        <v>0.38965300000000003</v>
      </c>
      <c r="N110" s="438">
        <f t="shared" si="19"/>
        <v>60.389653000000003</v>
      </c>
      <c r="O110" s="415"/>
    </row>
    <row r="111" spans="2:15" s="18" customFormat="1" ht="16.5" x14ac:dyDescent="0.3">
      <c r="B111" s="403"/>
      <c r="C111" s="317"/>
      <c r="D111" s="314"/>
      <c r="E111" s="277"/>
      <c r="F111" s="323"/>
      <c r="G111" s="138">
        <v>2</v>
      </c>
      <c r="H111" s="327"/>
      <c r="I111" s="327"/>
      <c r="J111" s="320"/>
      <c r="K111" s="304"/>
      <c r="L111" s="413"/>
      <c r="M111" s="413"/>
      <c r="N111" s="438"/>
      <c r="O111" s="415"/>
    </row>
    <row r="112" spans="2:15" s="18" customFormat="1" ht="16.5" x14ac:dyDescent="0.3">
      <c r="B112" s="403"/>
      <c r="C112" s="317"/>
      <c r="D112" s="314"/>
      <c r="E112" s="277"/>
      <c r="F112" s="323"/>
      <c r="G112" s="138">
        <v>3</v>
      </c>
      <c r="H112" s="327"/>
      <c r="I112" s="327"/>
      <c r="J112" s="320"/>
      <c r="K112" s="304"/>
      <c r="L112" s="413"/>
      <c r="M112" s="413"/>
      <c r="N112" s="438"/>
      <c r="O112" s="415"/>
    </row>
    <row r="113" spans="2:15" s="18" customFormat="1" ht="16.5" x14ac:dyDescent="0.3">
      <c r="B113" s="403"/>
      <c r="C113" s="317"/>
      <c r="D113" s="314"/>
      <c r="E113" s="277"/>
      <c r="F113" s="323"/>
      <c r="G113" s="138">
        <v>4</v>
      </c>
      <c r="H113" s="327"/>
      <c r="I113" s="327"/>
      <c r="J113" s="320"/>
      <c r="K113" s="304"/>
      <c r="L113" s="413"/>
      <c r="M113" s="413"/>
      <c r="N113" s="438"/>
      <c r="O113" s="415"/>
    </row>
    <row r="114" spans="2:15" s="18" customFormat="1" ht="16.5" x14ac:dyDescent="0.3">
      <c r="B114" s="403"/>
      <c r="C114" s="317"/>
      <c r="D114" s="314"/>
      <c r="E114" s="277"/>
      <c r="F114" s="323"/>
      <c r="G114" s="138">
        <v>5</v>
      </c>
      <c r="H114" s="327"/>
      <c r="I114" s="327"/>
      <c r="J114" s="320"/>
      <c r="K114" s="304"/>
      <c r="L114" s="413"/>
      <c r="M114" s="413"/>
      <c r="N114" s="438"/>
      <c r="O114" s="415"/>
    </row>
    <row r="115" spans="2:15" s="18" customFormat="1" ht="16.5" x14ac:dyDescent="0.3">
      <c r="B115" s="403"/>
      <c r="C115" s="317"/>
      <c r="D115" s="314"/>
      <c r="E115" s="277"/>
      <c r="F115" s="323"/>
      <c r="G115" s="138">
        <v>6</v>
      </c>
      <c r="H115" s="327"/>
      <c r="I115" s="327"/>
      <c r="J115" s="320"/>
      <c r="K115" s="304"/>
      <c r="L115" s="413"/>
      <c r="M115" s="413"/>
      <c r="N115" s="438"/>
      <c r="O115" s="415"/>
    </row>
    <row r="116" spans="2:15" s="18" customFormat="1" ht="16.5" x14ac:dyDescent="0.3">
      <c r="B116" s="403"/>
      <c r="C116" s="317"/>
      <c r="D116" s="314"/>
      <c r="E116" s="277"/>
      <c r="F116" s="323"/>
      <c r="G116" s="138">
        <v>7</v>
      </c>
      <c r="H116" s="327"/>
      <c r="I116" s="327"/>
      <c r="J116" s="320"/>
      <c r="K116" s="304"/>
      <c r="L116" s="413"/>
      <c r="M116" s="413"/>
      <c r="N116" s="438"/>
      <c r="O116" s="415"/>
    </row>
    <row r="117" spans="2:15" s="18" customFormat="1" ht="45" customHeight="1" thickBot="1" x14ac:dyDescent="0.35">
      <c r="B117" s="404"/>
      <c r="C117" s="318"/>
      <c r="D117" s="315"/>
      <c r="E117" s="278"/>
      <c r="F117" s="324"/>
      <c r="G117" s="140">
        <v>8</v>
      </c>
      <c r="H117" s="328"/>
      <c r="I117" s="328"/>
      <c r="J117" s="321"/>
      <c r="K117" s="305"/>
      <c r="L117" s="413"/>
      <c r="M117" s="413"/>
      <c r="N117" s="438"/>
      <c r="O117" s="415"/>
    </row>
    <row r="118" spans="2:15" s="18" customFormat="1" ht="21" customHeight="1" x14ac:dyDescent="0.3">
      <c r="B118" s="402" t="str">
        <f>+LEFT(C118,3)</f>
        <v>3.3</v>
      </c>
      <c r="C118" s="316" t="s">
        <v>148</v>
      </c>
      <c r="D118" s="313" t="s">
        <v>149</v>
      </c>
      <c r="E118" s="276" t="s">
        <v>537</v>
      </c>
      <c r="F118" s="309">
        <v>3</v>
      </c>
      <c r="G118" s="141">
        <v>1</v>
      </c>
      <c r="H118" s="363" t="s">
        <v>591</v>
      </c>
      <c r="I118" s="326" t="s">
        <v>538</v>
      </c>
      <c r="J118" s="310">
        <v>1</v>
      </c>
      <c r="K118" s="394" t="str">
        <f t="shared" si="17"/>
        <v>Deficiencia de control (diseño o ejecución)</v>
      </c>
      <c r="L118" s="413">
        <f t="shared" si="18"/>
        <v>20</v>
      </c>
      <c r="M118" s="413">
        <v>0.48964999999999997</v>
      </c>
      <c r="N118" s="438">
        <f t="shared" si="19"/>
        <v>20.489650000000001</v>
      </c>
      <c r="O118" s="415"/>
    </row>
    <row r="119" spans="2:15" s="18" customFormat="1" ht="21" customHeight="1" x14ac:dyDescent="0.3">
      <c r="B119" s="403"/>
      <c r="C119" s="317"/>
      <c r="D119" s="314"/>
      <c r="E119" s="277"/>
      <c r="F119" s="301"/>
      <c r="G119" s="138">
        <v>2</v>
      </c>
      <c r="H119" s="364"/>
      <c r="I119" s="327"/>
      <c r="J119" s="311"/>
      <c r="K119" s="304"/>
      <c r="L119" s="413"/>
      <c r="M119" s="413"/>
      <c r="N119" s="438"/>
      <c r="O119" s="415"/>
    </row>
    <row r="120" spans="2:15" s="18" customFormat="1" ht="21" customHeight="1" x14ac:dyDescent="0.3">
      <c r="B120" s="403"/>
      <c r="C120" s="317"/>
      <c r="D120" s="314"/>
      <c r="E120" s="277"/>
      <c r="F120" s="301"/>
      <c r="G120" s="138">
        <v>3</v>
      </c>
      <c r="H120" s="364"/>
      <c r="I120" s="327"/>
      <c r="J120" s="311"/>
      <c r="K120" s="304"/>
      <c r="L120" s="413"/>
      <c r="M120" s="413"/>
      <c r="N120" s="438"/>
      <c r="O120" s="415"/>
    </row>
    <row r="121" spans="2:15" s="18" customFormat="1" ht="21" customHeight="1" x14ac:dyDescent="0.3">
      <c r="B121" s="403"/>
      <c r="C121" s="317"/>
      <c r="D121" s="314"/>
      <c r="E121" s="277"/>
      <c r="F121" s="301"/>
      <c r="G121" s="138">
        <v>4</v>
      </c>
      <c r="H121" s="364"/>
      <c r="I121" s="327"/>
      <c r="J121" s="311"/>
      <c r="K121" s="304"/>
      <c r="L121" s="413"/>
      <c r="M121" s="413"/>
      <c r="N121" s="438"/>
      <c r="O121" s="415"/>
    </row>
    <row r="122" spans="2:15" s="18" customFormat="1" ht="21" customHeight="1" x14ac:dyDescent="0.3">
      <c r="B122" s="403"/>
      <c r="C122" s="317"/>
      <c r="D122" s="314"/>
      <c r="E122" s="277"/>
      <c r="F122" s="301"/>
      <c r="G122" s="138">
        <v>5</v>
      </c>
      <c r="H122" s="364"/>
      <c r="I122" s="327"/>
      <c r="J122" s="311"/>
      <c r="K122" s="304"/>
      <c r="L122" s="413"/>
      <c r="M122" s="413"/>
      <c r="N122" s="438"/>
      <c r="O122" s="415"/>
    </row>
    <row r="123" spans="2:15" s="18" customFormat="1" ht="21" customHeight="1" x14ac:dyDescent="0.3">
      <c r="B123" s="403"/>
      <c r="C123" s="317"/>
      <c r="D123" s="314"/>
      <c r="E123" s="277"/>
      <c r="F123" s="301"/>
      <c r="G123" s="138">
        <v>6</v>
      </c>
      <c r="H123" s="364"/>
      <c r="I123" s="327"/>
      <c r="J123" s="311"/>
      <c r="K123" s="304"/>
      <c r="L123" s="413"/>
      <c r="M123" s="413"/>
      <c r="N123" s="438"/>
      <c r="O123" s="415"/>
    </row>
    <row r="124" spans="2:15" s="18" customFormat="1" ht="9" customHeight="1" thickBot="1" x14ac:dyDescent="0.35">
      <c r="B124" s="403"/>
      <c r="C124" s="317"/>
      <c r="D124" s="314"/>
      <c r="E124" s="277"/>
      <c r="F124" s="301"/>
      <c r="G124" s="138">
        <v>7</v>
      </c>
      <c r="H124" s="364"/>
      <c r="I124" s="327"/>
      <c r="J124" s="311"/>
      <c r="K124" s="304"/>
      <c r="L124" s="413"/>
      <c r="M124" s="413"/>
      <c r="N124" s="438"/>
      <c r="O124" s="415"/>
    </row>
    <row r="125" spans="2:15" s="18" customFormat="1" ht="21" hidden="1" customHeight="1" thickBot="1" x14ac:dyDescent="0.35">
      <c r="B125" s="404"/>
      <c r="C125" s="318"/>
      <c r="D125" s="315"/>
      <c r="E125" s="278"/>
      <c r="F125" s="302"/>
      <c r="G125" s="140">
        <v>8</v>
      </c>
      <c r="H125" s="365"/>
      <c r="I125" s="328"/>
      <c r="J125" s="312"/>
      <c r="K125" s="305"/>
      <c r="L125" s="413"/>
      <c r="M125" s="413"/>
      <c r="N125" s="438"/>
      <c r="O125" s="415"/>
    </row>
    <row r="126" spans="2:15" ht="27.75" customHeight="1" x14ac:dyDescent="0.3">
      <c r="B126" s="410"/>
      <c r="C126" s="369" t="s">
        <v>150</v>
      </c>
      <c r="D126" s="359" t="s">
        <v>8</v>
      </c>
      <c r="E126" s="350" t="s">
        <v>113</v>
      </c>
      <c r="F126" s="354" t="s">
        <v>114</v>
      </c>
      <c r="G126" s="293" t="s">
        <v>115</v>
      </c>
      <c r="H126" s="294"/>
      <c r="I126" s="295"/>
      <c r="J126" s="354" t="s">
        <v>116</v>
      </c>
      <c r="K126" s="397" t="s">
        <v>135</v>
      </c>
      <c r="L126" s="414"/>
      <c r="M126" s="414"/>
      <c r="N126" s="441"/>
      <c r="O126" s="416"/>
    </row>
    <row r="127" spans="2:15" ht="66" customHeight="1" x14ac:dyDescent="0.3">
      <c r="B127" s="411"/>
      <c r="C127" s="370"/>
      <c r="D127" s="349"/>
      <c r="E127" s="351"/>
      <c r="F127" s="354"/>
      <c r="G127" s="356" t="s">
        <v>13</v>
      </c>
      <c r="H127" s="358" t="s">
        <v>15</v>
      </c>
      <c r="I127" s="296" t="s">
        <v>136</v>
      </c>
      <c r="J127" s="354"/>
      <c r="K127" s="395"/>
      <c r="L127" s="414"/>
      <c r="M127" s="414"/>
      <c r="N127" s="441"/>
      <c r="O127" s="416"/>
    </row>
    <row r="128" spans="2:15" ht="14.25" customHeight="1" thickBot="1" x14ac:dyDescent="0.35">
      <c r="B128" s="411"/>
      <c r="C128" s="370"/>
      <c r="D128" s="360"/>
      <c r="E128" s="297"/>
      <c r="F128" s="355"/>
      <c r="G128" s="357"/>
      <c r="H128" s="296"/>
      <c r="I128" s="297"/>
      <c r="J128" s="355"/>
      <c r="K128" s="396"/>
      <c r="L128" s="414"/>
      <c r="M128" s="414"/>
      <c r="N128" s="441"/>
      <c r="O128" s="416"/>
    </row>
    <row r="129" spans="2:15" ht="161.25" customHeight="1" x14ac:dyDescent="0.3">
      <c r="B129" s="402" t="str">
        <f>+LEFT(C129,3)</f>
        <v>4.1</v>
      </c>
      <c r="C129" s="306" t="s">
        <v>151</v>
      </c>
      <c r="D129" s="313" t="s">
        <v>152</v>
      </c>
      <c r="E129" s="274" t="s">
        <v>490</v>
      </c>
      <c r="F129" s="322">
        <v>3</v>
      </c>
      <c r="G129" s="141">
        <v>1</v>
      </c>
      <c r="H129" s="274" t="s">
        <v>456</v>
      </c>
      <c r="I129" s="274" t="s">
        <v>539</v>
      </c>
      <c r="J129" s="309">
        <v>3</v>
      </c>
      <c r="K129" s="392" t="str">
        <f t="shared" ref="K129:K177" si="20">+IF(OR(ISBLANK(F129),ISBLANK(J129)),"",IF(OR(AND(F129=1,J129=1),AND(F129=1,J129=2),AND(F129=1,J129=3)),"Deficiencia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413">
        <f t="shared" ref="L129:L177" si="21">+IF(K129="",0,IF(K129="Deficiencia de control mayor (diseño y ejecución)",4,IF(K129="Deficiencia de control (diseño o ejecución)",20,IF(K129="Oportunidad de mejora",40,60))))</f>
        <v>60</v>
      </c>
      <c r="M129" s="413">
        <v>0.58965000000000001</v>
      </c>
      <c r="N129" s="438">
        <f t="shared" ref="N129:N177" si="22">+L129+M129</f>
        <v>60.589649999999999</v>
      </c>
      <c r="O129" s="415"/>
    </row>
    <row r="130" spans="2:15" s="18" customFormat="1" ht="16.5" customHeight="1" thickBot="1" x14ac:dyDescent="0.35">
      <c r="B130" s="403"/>
      <c r="C130" s="307"/>
      <c r="D130" s="314"/>
      <c r="E130" s="275"/>
      <c r="F130" s="323"/>
      <c r="G130" s="138"/>
      <c r="H130" s="275"/>
      <c r="I130" s="275"/>
      <c r="J130" s="301"/>
      <c r="K130" s="392"/>
      <c r="L130" s="413"/>
      <c r="M130" s="413"/>
      <c r="N130" s="438"/>
      <c r="O130" s="415"/>
    </row>
    <row r="131" spans="2:15" s="18" customFormat="1" ht="21" hidden="1" customHeight="1" thickBot="1" x14ac:dyDescent="0.35">
      <c r="B131" s="403"/>
      <c r="C131" s="307"/>
      <c r="D131" s="314"/>
      <c r="E131" s="275"/>
      <c r="F131" s="323"/>
      <c r="G131" s="138">
        <v>3</v>
      </c>
      <c r="H131" s="184"/>
      <c r="I131" s="182"/>
      <c r="J131" s="301"/>
      <c r="K131" s="392"/>
      <c r="L131" s="413"/>
      <c r="M131" s="413"/>
      <c r="N131" s="438"/>
      <c r="O131" s="415"/>
    </row>
    <row r="132" spans="2:15" s="18" customFormat="1" ht="21" hidden="1" customHeight="1" thickBot="1" x14ac:dyDescent="0.35">
      <c r="B132" s="403"/>
      <c r="C132" s="307"/>
      <c r="D132" s="314"/>
      <c r="E132" s="275"/>
      <c r="F132" s="323"/>
      <c r="G132" s="138">
        <v>4</v>
      </c>
      <c r="H132" s="184"/>
      <c r="I132" s="182"/>
      <c r="J132" s="301"/>
      <c r="K132" s="392"/>
      <c r="L132" s="413"/>
      <c r="M132" s="413"/>
      <c r="N132" s="438"/>
      <c r="O132" s="415"/>
    </row>
    <row r="133" spans="2:15" s="18" customFormat="1" ht="21" hidden="1" customHeight="1" thickBot="1" x14ac:dyDescent="0.35">
      <c r="B133" s="403"/>
      <c r="C133" s="307"/>
      <c r="D133" s="314"/>
      <c r="E133" s="275"/>
      <c r="F133" s="323"/>
      <c r="G133" s="138">
        <v>5</v>
      </c>
      <c r="H133" s="184"/>
      <c r="I133" s="182"/>
      <c r="J133" s="301"/>
      <c r="K133" s="392"/>
      <c r="L133" s="413"/>
      <c r="M133" s="413"/>
      <c r="N133" s="438"/>
      <c r="O133" s="415"/>
    </row>
    <row r="134" spans="2:15" s="18" customFormat="1" ht="21" hidden="1" customHeight="1" thickBot="1" x14ac:dyDescent="0.35">
      <c r="B134" s="403"/>
      <c r="C134" s="307"/>
      <c r="D134" s="314"/>
      <c r="E134" s="275"/>
      <c r="F134" s="323"/>
      <c r="G134" s="138">
        <v>6</v>
      </c>
      <c r="H134" s="184"/>
      <c r="I134" s="182"/>
      <c r="J134" s="301"/>
      <c r="K134" s="392"/>
      <c r="L134" s="413"/>
      <c r="M134" s="413"/>
      <c r="N134" s="438"/>
      <c r="O134" s="415"/>
    </row>
    <row r="135" spans="2:15" s="18" customFormat="1" ht="21" hidden="1" customHeight="1" thickBot="1" x14ac:dyDescent="0.35">
      <c r="B135" s="403"/>
      <c r="C135" s="307"/>
      <c r="D135" s="314"/>
      <c r="E135" s="275"/>
      <c r="F135" s="323"/>
      <c r="G135" s="138">
        <v>7</v>
      </c>
      <c r="H135" s="184"/>
      <c r="I135" s="182"/>
      <c r="J135" s="301"/>
      <c r="K135" s="392"/>
      <c r="L135" s="413"/>
      <c r="M135" s="413"/>
      <c r="N135" s="438"/>
      <c r="O135" s="415"/>
    </row>
    <row r="136" spans="2:15" s="18" customFormat="1" ht="21" hidden="1" customHeight="1" thickBot="1" x14ac:dyDescent="0.35">
      <c r="B136" s="404"/>
      <c r="C136" s="308"/>
      <c r="D136" s="315"/>
      <c r="E136" s="325"/>
      <c r="F136" s="324"/>
      <c r="G136" s="140">
        <v>8</v>
      </c>
      <c r="H136" s="185"/>
      <c r="I136" s="183"/>
      <c r="J136" s="302"/>
      <c r="K136" s="392"/>
      <c r="L136" s="413"/>
      <c r="M136" s="413"/>
      <c r="N136" s="438"/>
      <c r="O136" s="415"/>
    </row>
    <row r="137" spans="2:15" s="18" customFormat="1" ht="126.75" customHeight="1" thickBot="1" x14ac:dyDescent="0.35">
      <c r="B137" s="402" t="str">
        <f>+LEFT(C137,3)</f>
        <v>4.2</v>
      </c>
      <c r="C137" s="306" t="s">
        <v>153</v>
      </c>
      <c r="D137" s="313" t="s">
        <v>152</v>
      </c>
      <c r="E137" s="274" t="s">
        <v>457</v>
      </c>
      <c r="F137" s="322">
        <v>2</v>
      </c>
      <c r="G137" s="141">
        <v>1</v>
      </c>
      <c r="H137" s="274" t="s">
        <v>458</v>
      </c>
      <c r="I137" s="274" t="s">
        <v>491</v>
      </c>
      <c r="J137" s="309">
        <v>2</v>
      </c>
      <c r="K137" s="392" t="str">
        <f t="shared" si="20"/>
        <v>Deficiencia de control (diseño o ejecución)</v>
      </c>
      <c r="L137" s="413">
        <f t="shared" si="21"/>
        <v>20</v>
      </c>
      <c r="M137" s="413">
        <v>0.68964999999999999</v>
      </c>
      <c r="N137" s="438">
        <f t="shared" si="22"/>
        <v>20.68965</v>
      </c>
      <c r="O137" s="415"/>
    </row>
    <row r="138" spans="2:15" s="18" customFormat="1" ht="5.25" hidden="1" customHeight="1" thickBot="1" x14ac:dyDescent="0.35">
      <c r="B138" s="403"/>
      <c r="C138" s="307"/>
      <c r="D138" s="314"/>
      <c r="E138" s="275"/>
      <c r="F138" s="323"/>
      <c r="G138" s="138">
        <v>2</v>
      </c>
      <c r="H138" s="275"/>
      <c r="I138" s="275"/>
      <c r="J138" s="301"/>
      <c r="K138" s="392"/>
      <c r="L138" s="413"/>
      <c r="M138" s="413"/>
      <c r="N138" s="438"/>
      <c r="O138" s="415"/>
    </row>
    <row r="139" spans="2:15" s="18" customFormat="1" ht="21" hidden="1" customHeight="1" thickBot="1" x14ac:dyDescent="0.35">
      <c r="B139" s="403"/>
      <c r="C139" s="307"/>
      <c r="D139" s="314"/>
      <c r="E139" s="275"/>
      <c r="F139" s="323"/>
      <c r="G139" s="138">
        <v>3</v>
      </c>
      <c r="H139" s="275"/>
      <c r="I139" s="275"/>
      <c r="J139" s="301"/>
      <c r="K139" s="392"/>
      <c r="L139" s="413"/>
      <c r="M139" s="413"/>
      <c r="N139" s="438"/>
      <c r="O139" s="415"/>
    </row>
    <row r="140" spans="2:15" s="18" customFormat="1" ht="21" hidden="1" customHeight="1" thickBot="1" x14ac:dyDescent="0.35">
      <c r="B140" s="403"/>
      <c r="C140" s="307"/>
      <c r="D140" s="314"/>
      <c r="E140" s="275"/>
      <c r="F140" s="323"/>
      <c r="G140" s="138">
        <v>4</v>
      </c>
      <c r="H140" s="275"/>
      <c r="I140" s="275"/>
      <c r="J140" s="301"/>
      <c r="K140" s="392"/>
      <c r="L140" s="413"/>
      <c r="M140" s="413"/>
      <c r="N140" s="438"/>
      <c r="O140" s="415"/>
    </row>
    <row r="141" spans="2:15" s="18" customFormat="1" ht="21" hidden="1" customHeight="1" thickBot="1" x14ac:dyDescent="0.35">
      <c r="B141" s="403"/>
      <c r="C141" s="307"/>
      <c r="D141" s="314"/>
      <c r="E141" s="275"/>
      <c r="F141" s="323"/>
      <c r="G141" s="138">
        <v>5</v>
      </c>
      <c r="H141" s="275"/>
      <c r="I141" s="275"/>
      <c r="J141" s="301"/>
      <c r="K141" s="392"/>
      <c r="L141" s="413"/>
      <c r="M141" s="413"/>
      <c r="N141" s="438"/>
      <c r="O141" s="415"/>
    </row>
    <row r="142" spans="2:15" s="18" customFormat="1" ht="21" hidden="1" customHeight="1" thickBot="1" x14ac:dyDescent="0.35">
      <c r="B142" s="403"/>
      <c r="C142" s="307"/>
      <c r="D142" s="314"/>
      <c r="E142" s="275"/>
      <c r="F142" s="323"/>
      <c r="G142" s="138">
        <v>6</v>
      </c>
      <c r="H142" s="275"/>
      <c r="I142" s="275"/>
      <c r="J142" s="301"/>
      <c r="K142" s="392"/>
      <c r="L142" s="413"/>
      <c r="M142" s="413"/>
      <c r="N142" s="438"/>
      <c r="O142" s="415"/>
    </row>
    <row r="143" spans="2:15" s="18" customFormat="1" ht="21" hidden="1" customHeight="1" thickBot="1" x14ac:dyDescent="0.35">
      <c r="B143" s="403"/>
      <c r="C143" s="307"/>
      <c r="D143" s="314"/>
      <c r="E143" s="275"/>
      <c r="F143" s="323"/>
      <c r="G143" s="138">
        <v>7</v>
      </c>
      <c r="H143" s="275"/>
      <c r="I143" s="275"/>
      <c r="J143" s="301"/>
      <c r="K143" s="392"/>
      <c r="L143" s="413"/>
      <c r="M143" s="413"/>
      <c r="N143" s="438"/>
      <c r="O143" s="415"/>
    </row>
    <row r="144" spans="2:15" s="18" customFormat="1" ht="21" hidden="1" customHeight="1" thickBot="1" x14ac:dyDescent="0.35">
      <c r="B144" s="404"/>
      <c r="C144" s="308"/>
      <c r="D144" s="315"/>
      <c r="E144" s="325"/>
      <c r="F144" s="324"/>
      <c r="G144" s="140">
        <v>8</v>
      </c>
      <c r="H144" s="325"/>
      <c r="I144" s="325"/>
      <c r="J144" s="302"/>
      <c r="K144" s="392"/>
      <c r="L144" s="413"/>
      <c r="M144" s="413"/>
      <c r="N144" s="438"/>
      <c r="O144" s="415"/>
    </row>
    <row r="145" spans="2:15" s="18" customFormat="1" ht="102" customHeight="1" x14ac:dyDescent="0.3">
      <c r="B145" s="402" t="str">
        <f>+LEFT(C145,3)</f>
        <v>4.3</v>
      </c>
      <c r="C145" s="306" t="s">
        <v>154</v>
      </c>
      <c r="D145" s="313" t="s">
        <v>152</v>
      </c>
      <c r="E145" s="274" t="s">
        <v>492</v>
      </c>
      <c r="F145" s="309">
        <v>3</v>
      </c>
      <c r="G145" s="141">
        <v>1</v>
      </c>
      <c r="H145" s="274" t="s">
        <v>493</v>
      </c>
      <c r="I145" s="274" t="s">
        <v>540</v>
      </c>
      <c r="J145" s="309">
        <v>2</v>
      </c>
      <c r="K145" s="392" t="str">
        <f t="shared" si="20"/>
        <v>Deficiencia de control (diseño o ejecución)</v>
      </c>
      <c r="L145" s="413">
        <f t="shared" si="21"/>
        <v>20</v>
      </c>
      <c r="M145" s="413">
        <v>0.78964999999999996</v>
      </c>
      <c r="N145" s="438">
        <f t="shared" si="22"/>
        <v>20.789650000000002</v>
      </c>
      <c r="O145" s="415"/>
    </row>
    <row r="146" spans="2:15" s="18" customFormat="1" ht="21" customHeight="1" x14ac:dyDescent="0.3">
      <c r="B146" s="403"/>
      <c r="C146" s="307"/>
      <c r="D146" s="314"/>
      <c r="E146" s="275"/>
      <c r="F146" s="301"/>
      <c r="G146" s="138">
        <v>2</v>
      </c>
      <c r="H146" s="275"/>
      <c r="I146" s="275"/>
      <c r="J146" s="301"/>
      <c r="K146" s="392"/>
      <c r="L146" s="413"/>
      <c r="M146" s="413"/>
      <c r="N146" s="438"/>
      <c r="O146" s="415"/>
    </row>
    <row r="147" spans="2:15" s="18" customFormat="1" ht="21" customHeight="1" x14ac:dyDescent="0.3">
      <c r="B147" s="403"/>
      <c r="C147" s="307"/>
      <c r="D147" s="314"/>
      <c r="E147" s="275"/>
      <c r="F147" s="301"/>
      <c r="G147" s="138">
        <v>3</v>
      </c>
      <c r="H147" s="275"/>
      <c r="I147" s="275"/>
      <c r="J147" s="301"/>
      <c r="K147" s="392"/>
      <c r="L147" s="413"/>
      <c r="M147" s="413"/>
      <c r="N147" s="438"/>
      <c r="O147" s="415"/>
    </row>
    <row r="148" spans="2:15" s="18" customFormat="1" ht="21" customHeight="1" x14ac:dyDescent="0.3">
      <c r="B148" s="403"/>
      <c r="C148" s="307"/>
      <c r="D148" s="314"/>
      <c r="E148" s="275"/>
      <c r="F148" s="301"/>
      <c r="G148" s="138">
        <v>4</v>
      </c>
      <c r="H148" s="275"/>
      <c r="I148" s="275"/>
      <c r="J148" s="301"/>
      <c r="K148" s="392"/>
      <c r="L148" s="413"/>
      <c r="M148" s="413"/>
      <c r="N148" s="438"/>
      <c r="O148" s="415"/>
    </row>
    <row r="149" spans="2:15" s="18" customFormat="1" ht="3.75" customHeight="1" thickBot="1" x14ac:dyDescent="0.35">
      <c r="B149" s="403"/>
      <c r="C149" s="307"/>
      <c r="D149" s="314"/>
      <c r="E149" s="275"/>
      <c r="F149" s="301"/>
      <c r="G149" s="138">
        <v>5</v>
      </c>
      <c r="H149" s="275"/>
      <c r="I149" s="275"/>
      <c r="J149" s="301"/>
      <c r="K149" s="392"/>
      <c r="L149" s="413"/>
      <c r="M149" s="413"/>
      <c r="N149" s="438"/>
      <c r="O149" s="415"/>
    </row>
    <row r="150" spans="2:15" s="18" customFormat="1" ht="21" hidden="1" customHeight="1" thickBot="1" x14ac:dyDescent="0.35">
      <c r="B150" s="403"/>
      <c r="C150" s="307"/>
      <c r="D150" s="314"/>
      <c r="E150" s="275"/>
      <c r="F150" s="301"/>
      <c r="G150" s="138">
        <v>6</v>
      </c>
      <c r="H150" s="275"/>
      <c r="I150" s="275"/>
      <c r="J150" s="301"/>
      <c r="K150" s="392"/>
      <c r="L150" s="413"/>
      <c r="M150" s="413"/>
      <c r="N150" s="438"/>
      <c r="O150" s="415"/>
    </row>
    <row r="151" spans="2:15" s="18" customFormat="1" ht="21" hidden="1" customHeight="1" thickBot="1" x14ac:dyDescent="0.35">
      <c r="B151" s="403"/>
      <c r="C151" s="307"/>
      <c r="D151" s="314"/>
      <c r="E151" s="275"/>
      <c r="F151" s="301"/>
      <c r="G151" s="138">
        <v>7</v>
      </c>
      <c r="H151" s="275"/>
      <c r="I151" s="275"/>
      <c r="J151" s="301"/>
      <c r="K151" s="392"/>
      <c r="L151" s="413"/>
      <c r="M151" s="413"/>
      <c r="N151" s="438"/>
      <c r="O151" s="415"/>
    </row>
    <row r="152" spans="2:15" s="18" customFormat="1" ht="21" hidden="1" customHeight="1" thickBot="1" x14ac:dyDescent="0.35">
      <c r="B152" s="404"/>
      <c r="C152" s="308"/>
      <c r="D152" s="315"/>
      <c r="E152" s="325"/>
      <c r="F152" s="302"/>
      <c r="G152" s="140">
        <v>8</v>
      </c>
      <c r="H152" s="325"/>
      <c r="I152" s="325"/>
      <c r="J152" s="302"/>
      <c r="K152" s="392"/>
      <c r="L152" s="413"/>
      <c r="M152" s="413"/>
      <c r="N152" s="438"/>
      <c r="O152" s="415"/>
    </row>
    <row r="153" spans="2:15" s="18" customFormat="1" ht="21" customHeight="1" x14ac:dyDescent="0.3">
      <c r="B153" s="402" t="str">
        <f>+LEFT(C153,3)</f>
        <v>4.4</v>
      </c>
      <c r="C153" s="306" t="s">
        <v>155</v>
      </c>
      <c r="D153" s="313" t="s">
        <v>152</v>
      </c>
      <c r="E153" s="279" t="s">
        <v>592</v>
      </c>
      <c r="F153" s="309">
        <v>3</v>
      </c>
      <c r="G153" s="141">
        <v>1</v>
      </c>
      <c r="H153" s="279" t="s">
        <v>593</v>
      </c>
      <c r="I153" s="279" t="s">
        <v>541</v>
      </c>
      <c r="J153" s="309">
        <v>2</v>
      </c>
      <c r="K153" s="392" t="str">
        <f t="shared" si="20"/>
        <v>Deficiencia de control (diseño o ejecución)</v>
      </c>
      <c r="L153" s="413">
        <f t="shared" si="21"/>
        <v>20</v>
      </c>
      <c r="M153" s="413">
        <v>0.88965000000000005</v>
      </c>
      <c r="N153" s="438">
        <f t="shared" si="22"/>
        <v>20.88965</v>
      </c>
      <c r="O153" s="415"/>
    </row>
    <row r="154" spans="2:15" s="18" customFormat="1" ht="21" customHeight="1" x14ac:dyDescent="0.3">
      <c r="B154" s="403"/>
      <c r="C154" s="307"/>
      <c r="D154" s="314"/>
      <c r="E154" s="280"/>
      <c r="F154" s="301"/>
      <c r="G154" s="138">
        <v>2</v>
      </c>
      <c r="H154" s="280"/>
      <c r="I154" s="280"/>
      <c r="J154" s="301"/>
      <c r="K154" s="392"/>
      <c r="L154" s="413"/>
      <c r="M154" s="413"/>
      <c r="N154" s="438"/>
      <c r="O154" s="415"/>
    </row>
    <row r="155" spans="2:15" s="18" customFormat="1" ht="21" customHeight="1" x14ac:dyDescent="0.3">
      <c r="B155" s="403"/>
      <c r="C155" s="307"/>
      <c r="D155" s="314"/>
      <c r="E155" s="280"/>
      <c r="F155" s="301"/>
      <c r="G155" s="138">
        <v>3</v>
      </c>
      <c r="H155" s="280"/>
      <c r="I155" s="280"/>
      <c r="J155" s="301"/>
      <c r="K155" s="392"/>
      <c r="L155" s="413"/>
      <c r="M155" s="413"/>
      <c r="N155" s="438"/>
      <c r="O155" s="415"/>
    </row>
    <row r="156" spans="2:15" s="18" customFormat="1" ht="21" customHeight="1" x14ac:dyDescent="0.3">
      <c r="B156" s="403"/>
      <c r="C156" s="307"/>
      <c r="D156" s="314"/>
      <c r="E156" s="280"/>
      <c r="F156" s="301"/>
      <c r="G156" s="138">
        <v>4</v>
      </c>
      <c r="H156" s="280"/>
      <c r="I156" s="280"/>
      <c r="J156" s="301"/>
      <c r="K156" s="392"/>
      <c r="L156" s="413"/>
      <c r="M156" s="413"/>
      <c r="N156" s="438"/>
      <c r="O156" s="415"/>
    </row>
    <row r="157" spans="2:15" s="18" customFormat="1" ht="21" customHeight="1" x14ac:dyDescent="0.3">
      <c r="B157" s="403"/>
      <c r="C157" s="307"/>
      <c r="D157" s="314"/>
      <c r="E157" s="280"/>
      <c r="F157" s="301"/>
      <c r="G157" s="138">
        <v>5</v>
      </c>
      <c r="H157" s="280"/>
      <c r="I157" s="280"/>
      <c r="J157" s="301"/>
      <c r="K157" s="392"/>
      <c r="L157" s="413"/>
      <c r="M157" s="413"/>
      <c r="N157" s="438"/>
      <c r="O157" s="415"/>
    </row>
    <row r="158" spans="2:15" s="18" customFormat="1" ht="51.75" customHeight="1" x14ac:dyDescent="0.3">
      <c r="B158" s="403"/>
      <c r="C158" s="307"/>
      <c r="D158" s="314"/>
      <c r="E158" s="280"/>
      <c r="F158" s="301"/>
      <c r="G158" s="138">
        <v>6</v>
      </c>
      <c r="H158" s="280"/>
      <c r="I158" s="280"/>
      <c r="J158" s="301"/>
      <c r="K158" s="392"/>
      <c r="L158" s="413"/>
      <c r="M158" s="413"/>
      <c r="N158" s="438"/>
      <c r="O158" s="415"/>
    </row>
    <row r="159" spans="2:15" s="18" customFormat="1" ht="9" hidden="1" customHeight="1" thickBot="1" x14ac:dyDescent="0.35">
      <c r="B159" s="403"/>
      <c r="C159" s="307"/>
      <c r="D159" s="314"/>
      <c r="E159" s="280"/>
      <c r="F159" s="301"/>
      <c r="G159" s="138">
        <v>7</v>
      </c>
      <c r="H159" s="280"/>
      <c r="I159" s="280"/>
      <c r="J159" s="301"/>
      <c r="K159" s="392"/>
      <c r="L159" s="413"/>
      <c r="M159" s="413"/>
      <c r="N159" s="438"/>
      <c r="O159" s="415"/>
    </row>
    <row r="160" spans="2:15" s="18" customFormat="1" ht="18" customHeight="1" thickBot="1" x14ac:dyDescent="0.35">
      <c r="B160" s="404"/>
      <c r="C160" s="308"/>
      <c r="D160" s="315"/>
      <c r="E160" s="281"/>
      <c r="F160" s="302"/>
      <c r="G160" s="140">
        <v>8</v>
      </c>
      <c r="H160" s="281"/>
      <c r="I160" s="281"/>
      <c r="J160" s="302"/>
      <c r="K160" s="392"/>
      <c r="L160" s="413"/>
      <c r="M160" s="413"/>
      <c r="N160" s="438"/>
      <c r="O160" s="415"/>
    </row>
    <row r="161" spans="2:15" s="18" customFormat="1" ht="110.25" customHeight="1" x14ac:dyDescent="0.3">
      <c r="B161" s="402" t="str">
        <f>+LEFT(C161,3)</f>
        <v>4.5</v>
      </c>
      <c r="C161" s="306" t="s">
        <v>156</v>
      </c>
      <c r="D161" s="313" t="s">
        <v>152</v>
      </c>
      <c r="E161" s="290" t="s">
        <v>459</v>
      </c>
      <c r="F161" s="309">
        <v>2</v>
      </c>
      <c r="G161" s="141">
        <v>1</v>
      </c>
      <c r="H161" s="290" t="s">
        <v>495</v>
      </c>
      <c r="I161" s="290" t="s">
        <v>542</v>
      </c>
      <c r="J161" s="309">
        <v>2</v>
      </c>
      <c r="K161" s="392" t="str">
        <f t="shared" si="20"/>
        <v>Deficiencia de control (diseño o ejecución)</v>
      </c>
      <c r="L161" s="413">
        <f t="shared" si="21"/>
        <v>20</v>
      </c>
      <c r="M161" s="413">
        <v>0.98965000000000003</v>
      </c>
      <c r="N161" s="439">
        <f t="shared" si="22"/>
        <v>20.989650000000001</v>
      </c>
      <c r="O161" s="417"/>
    </row>
    <row r="162" spans="2:15" s="18" customFormat="1" ht="18.75" customHeight="1" x14ac:dyDescent="0.3">
      <c r="B162" s="403"/>
      <c r="C162" s="307"/>
      <c r="D162" s="314"/>
      <c r="E162" s="291"/>
      <c r="F162" s="301"/>
      <c r="G162" s="138">
        <v>2</v>
      </c>
      <c r="H162" s="291"/>
      <c r="I162" s="291"/>
      <c r="J162" s="301"/>
      <c r="K162" s="392"/>
      <c r="L162" s="413"/>
      <c r="M162" s="413"/>
      <c r="N162" s="439"/>
      <c r="O162" s="417"/>
    </row>
    <row r="163" spans="2:15" s="18" customFormat="1" ht="21" hidden="1" customHeight="1" thickBot="1" x14ac:dyDescent="0.35">
      <c r="B163" s="403"/>
      <c r="C163" s="307"/>
      <c r="D163" s="314"/>
      <c r="E163" s="291"/>
      <c r="F163" s="301"/>
      <c r="G163" s="138">
        <v>3</v>
      </c>
      <c r="H163" s="291"/>
      <c r="I163" s="291"/>
      <c r="J163" s="301"/>
      <c r="K163" s="392"/>
      <c r="L163" s="413"/>
      <c r="M163" s="413"/>
      <c r="N163" s="439"/>
      <c r="O163" s="417"/>
    </row>
    <row r="164" spans="2:15" s="18" customFormat="1" ht="21" hidden="1" customHeight="1" thickBot="1" x14ac:dyDescent="0.35">
      <c r="B164" s="403"/>
      <c r="C164" s="307"/>
      <c r="D164" s="314"/>
      <c r="E164" s="291"/>
      <c r="F164" s="301"/>
      <c r="G164" s="138">
        <v>4</v>
      </c>
      <c r="H164" s="291"/>
      <c r="I164" s="291"/>
      <c r="J164" s="301"/>
      <c r="K164" s="392"/>
      <c r="L164" s="413"/>
      <c r="M164" s="413"/>
      <c r="N164" s="439"/>
      <c r="O164" s="417"/>
    </row>
    <row r="165" spans="2:15" s="18" customFormat="1" ht="21" hidden="1" customHeight="1" thickBot="1" x14ac:dyDescent="0.35">
      <c r="B165" s="403"/>
      <c r="C165" s="307"/>
      <c r="D165" s="314"/>
      <c r="E165" s="291"/>
      <c r="F165" s="301"/>
      <c r="G165" s="138">
        <v>5</v>
      </c>
      <c r="H165" s="291"/>
      <c r="I165" s="291"/>
      <c r="J165" s="301"/>
      <c r="K165" s="392"/>
      <c r="L165" s="413"/>
      <c r="M165" s="413"/>
      <c r="N165" s="439"/>
      <c r="O165" s="417"/>
    </row>
    <row r="166" spans="2:15" s="18" customFormat="1" ht="21" hidden="1" customHeight="1" thickBot="1" x14ac:dyDescent="0.35">
      <c r="B166" s="403"/>
      <c r="C166" s="307"/>
      <c r="D166" s="314"/>
      <c r="E166" s="291"/>
      <c r="F166" s="301"/>
      <c r="G166" s="138">
        <v>6</v>
      </c>
      <c r="H166" s="291"/>
      <c r="I166" s="291"/>
      <c r="J166" s="301"/>
      <c r="K166" s="392"/>
      <c r="L166" s="413"/>
      <c r="M166" s="413"/>
      <c r="N166" s="439"/>
      <c r="O166" s="417"/>
    </row>
    <row r="167" spans="2:15" s="18" customFormat="1" ht="0.75" hidden="1" customHeight="1" thickBot="1" x14ac:dyDescent="0.35">
      <c r="B167" s="403"/>
      <c r="C167" s="307"/>
      <c r="D167" s="314"/>
      <c r="E167" s="291"/>
      <c r="F167" s="301"/>
      <c r="G167" s="138">
        <v>7</v>
      </c>
      <c r="H167" s="291"/>
      <c r="I167" s="291"/>
      <c r="J167" s="301"/>
      <c r="K167" s="392"/>
      <c r="L167" s="413"/>
      <c r="M167" s="413"/>
      <c r="N167" s="439"/>
      <c r="O167" s="417"/>
    </row>
    <row r="168" spans="2:15" s="18" customFormat="1" ht="11.25" customHeight="1" thickBot="1" x14ac:dyDescent="0.35">
      <c r="B168" s="404"/>
      <c r="C168" s="308"/>
      <c r="D168" s="315"/>
      <c r="E168" s="292"/>
      <c r="F168" s="302"/>
      <c r="G168" s="140">
        <v>8</v>
      </c>
      <c r="H168" s="292"/>
      <c r="I168" s="292"/>
      <c r="J168" s="302"/>
      <c r="K168" s="392"/>
      <c r="L168" s="413"/>
      <c r="M168" s="413"/>
      <c r="N168" s="439"/>
      <c r="O168" s="417"/>
    </row>
    <row r="169" spans="2:15" s="18" customFormat="1" ht="114.75" customHeight="1" x14ac:dyDescent="0.3">
      <c r="B169" s="402" t="str">
        <f>+LEFT(C169,3)</f>
        <v>4.6</v>
      </c>
      <c r="C169" s="376" t="s">
        <v>157</v>
      </c>
      <c r="D169" s="313" t="s">
        <v>152</v>
      </c>
      <c r="E169" s="290" t="s">
        <v>494</v>
      </c>
      <c r="F169" s="309">
        <v>2</v>
      </c>
      <c r="G169" s="141">
        <v>1</v>
      </c>
      <c r="H169" s="290" t="s">
        <v>496</v>
      </c>
      <c r="I169" s="290" t="s">
        <v>543</v>
      </c>
      <c r="J169" s="309">
        <v>2</v>
      </c>
      <c r="K169" s="419" t="str">
        <f t="shared" si="20"/>
        <v>Deficiencia de control (diseño o ejecución)</v>
      </c>
      <c r="L169" s="413">
        <f t="shared" si="21"/>
        <v>20</v>
      </c>
      <c r="M169" s="413">
        <v>0.98965199999999998</v>
      </c>
      <c r="N169" s="440">
        <f t="shared" si="22"/>
        <v>20.989652</v>
      </c>
      <c r="O169" s="418"/>
    </row>
    <row r="170" spans="2:15" s="18" customFormat="1" ht="21" customHeight="1" x14ac:dyDescent="0.3">
      <c r="B170" s="403"/>
      <c r="C170" s="377"/>
      <c r="D170" s="314"/>
      <c r="E170" s="291"/>
      <c r="F170" s="301"/>
      <c r="G170" s="138">
        <v>2</v>
      </c>
      <c r="H170" s="291"/>
      <c r="I170" s="291"/>
      <c r="J170" s="301"/>
      <c r="K170" s="420"/>
      <c r="L170" s="413"/>
      <c r="M170" s="413"/>
      <c r="N170" s="440"/>
      <c r="O170" s="418"/>
    </row>
    <row r="171" spans="2:15" s="18" customFormat="1" ht="7.5" customHeight="1" thickBot="1" x14ac:dyDescent="0.35">
      <c r="B171" s="403"/>
      <c r="C171" s="377"/>
      <c r="D171" s="314"/>
      <c r="E171" s="291"/>
      <c r="F171" s="301"/>
      <c r="G171" s="138">
        <v>3</v>
      </c>
      <c r="H171" s="291"/>
      <c r="I171" s="291"/>
      <c r="J171" s="301"/>
      <c r="K171" s="420"/>
      <c r="L171" s="413"/>
      <c r="M171" s="413"/>
      <c r="N171" s="440"/>
      <c r="O171" s="418"/>
    </row>
    <row r="172" spans="2:15" s="18" customFormat="1" ht="21" hidden="1" customHeight="1" thickBot="1" x14ac:dyDescent="0.35">
      <c r="B172" s="403"/>
      <c r="C172" s="377"/>
      <c r="D172" s="314"/>
      <c r="E172" s="291"/>
      <c r="F172" s="301"/>
      <c r="G172" s="138">
        <v>4</v>
      </c>
      <c r="H172" s="291"/>
      <c r="I172" s="291"/>
      <c r="J172" s="301"/>
      <c r="K172" s="420"/>
      <c r="L172" s="413"/>
      <c r="M172" s="413"/>
      <c r="N172" s="440"/>
      <c r="O172" s="418"/>
    </row>
    <row r="173" spans="2:15" s="18" customFormat="1" ht="21" hidden="1" customHeight="1" thickBot="1" x14ac:dyDescent="0.35">
      <c r="B173" s="403"/>
      <c r="C173" s="377"/>
      <c r="D173" s="314"/>
      <c r="E173" s="291"/>
      <c r="F173" s="301"/>
      <c r="G173" s="138">
        <v>5</v>
      </c>
      <c r="H173" s="291"/>
      <c r="I173" s="291"/>
      <c r="J173" s="301"/>
      <c r="K173" s="420"/>
      <c r="L173" s="413"/>
      <c r="M173" s="413"/>
      <c r="N173" s="440"/>
      <c r="O173" s="418"/>
    </row>
    <row r="174" spans="2:15" s="18" customFormat="1" ht="21" hidden="1" customHeight="1" thickBot="1" x14ac:dyDescent="0.35">
      <c r="B174" s="403"/>
      <c r="C174" s="377"/>
      <c r="D174" s="314"/>
      <c r="E174" s="291"/>
      <c r="F174" s="301"/>
      <c r="G174" s="138">
        <v>6</v>
      </c>
      <c r="H174" s="291"/>
      <c r="I174" s="291"/>
      <c r="J174" s="301"/>
      <c r="K174" s="420"/>
      <c r="L174" s="413"/>
      <c r="M174" s="413"/>
      <c r="N174" s="440"/>
      <c r="O174" s="418"/>
    </row>
    <row r="175" spans="2:15" s="18" customFormat="1" ht="21" hidden="1" customHeight="1" thickBot="1" x14ac:dyDescent="0.35">
      <c r="B175" s="403"/>
      <c r="C175" s="377"/>
      <c r="D175" s="314"/>
      <c r="E175" s="291"/>
      <c r="F175" s="301"/>
      <c r="G175" s="138">
        <v>7</v>
      </c>
      <c r="H175" s="291"/>
      <c r="I175" s="291"/>
      <c r="J175" s="301"/>
      <c r="K175" s="420"/>
      <c r="L175" s="413"/>
      <c r="M175" s="413"/>
      <c r="N175" s="440"/>
      <c r="O175" s="418"/>
    </row>
    <row r="176" spans="2:15" s="18" customFormat="1" ht="21" hidden="1" customHeight="1" thickBot="1" x14ac:dyDescent="0.35">
      <c r="B176" s="404"/>
      <c r="C176" s="378"/>
      <c r="D176" s="315"/>
      <c r="E176" s="292"/>
      <c r="F176" s="302"/>
      <c r="G176" s="140">
        <v>8</v>
      </c>
      <c r="H176" s="292"/>
      <c r="I176" s="292"/>
      <c r="J176" s="302"/>
      <c r="K176" s="421"/>
      <c r="L176" s="413"/>
      <c r="M176" s="413"/>
      <c r="N176" s="440"/>
      <c r="O176" s="418"/>
    </row>
    <row r="177" spans="2:15" s="18" customFormat="1" ht="154.5" customHeight="1" thickBot="1" x14ac:dyDescent="0.35">
      <c r="B177" s="402" t="str">
        <f>+LEFT(C177,3)</f>
        <v>4.7</v>
      </c>
      <c r="C177" s="373" t="s">
        <v>158</v>
      </c>
      <c r="D177" s="313" t="s">
        <v>152</v>
      </c>
      <c r="E177" s="290" t="s">
        <v>497</v>
      </c>
      <c r="F177" s="322">
        <v>1</v>
      </c>
      <c r="G177" s="141">
        <v>1</v>
      </c>
      <c r="H177" s="290" t="s">
        <v>460</v>
      </c>
      <c r="I177" s="287" t="s">
        <v>544</v>
      </c>
      <c r="J177" s="309">
        <v>1</v>
      </c>
      <c r="K177" s="398" t="str">
        <f t="shared" si="20"/>
        <v>Deficiencia de control mayor (diseño y ejecución)</v>
      </c>
      <c r="L177" s="413">
        <f t="shared" si="21"/>
        <v>4</v>
      </c>
      <c r="M177" s="413">
        <v>1.8962300000000001</v>
      </c>
      <c r="N177" s="438">
        <f t="shared" si="22"/>
        <v>5.8962300000000001</v>
      </c>
      <c r="O177" s="415"/>
    </row>
    <row r="178" spans="2:15" s="18" customFormat="1" ht="21" hidden="1" customHeight="1" thickBot="1" x14ac:dyDescent="0.35">
      <c r="B178" s="403"/>
      <c r="C178" s="374"/>
      <c r="D178" s="314"/>
      <c r="E178" s="291"/>
      <c r="F178" s="323"/>
      <c r="G178" s="138">
        <v>2</v>
      </c>
      <c r="H178" s="291"/>
      <c r="I178" s="291"/>
      <c r="J178" s="301"/>
      <c r="K178" s="392"/>
      <c r="L178" s="413"/>
      <c r="M178" s="413"/>
      <c r="N178" s="438"/>
      <c r="O178" s="415"/>
    </row>
    <row r="179" spans="2:15" s="18" customFormat="1" ht="21" hidden="1" customHeight="1" thickBot="1" x14ac:dyDescent="0.35">
      <c r="B179" s="403"/>
      <c r="C179" s="374"/>
      <c r="D179" s="314"/>
      <c r="E179" s="291"/>
      <c r="F179" s="323"/>
      <c r="G179" s="138">
        <v>3</v>
      </c>
      <c r="H179" s="291"/>
      <c r="I179" s="291"/>
      <c r="J179" s="301"/>
      <c r="K179" s="392"/>
      <c r="L179" s="413"/>
      <c r="M179" s="413"/>
      <c r="N179" s="438"/>
      <c r="O179" s="415"/>
    </row>
    <row r="180" spans="2:15" s="18" customFormat="1" ht="21" hidden="1" customHeight="1" thickBot="1" x14ac:dyDescent="0.35">
      <c r="B180" s="403"/>
      <c r="C180" s="374"/>
      <c r="D180" s="314"/>
      <c r="E180" s="291"/>
      <c r="F180" s="323"/>
      <c r="G180" s="138">
        <v>4</v>
      </c>
      <c r="H180" s="291"/>
      <c r="I180" s="291"/>
      <c r="J180" s="301"/>
      <c r="K180" s="392"/>
      <c r="L180" s="413"/>
      <c r="M180" s="413"/>
      <c r="N180" s="438"/>
      <c r="O180" s="415"/>
    </row>
    <row r="181" spans="2:15" s="18" customFormat="1" ht="21" hidden="1" customHeight="1" thickBot="1" x14ac:dyDescent="0.35">
      <c r="B181" s="403"/>
      <c r="C181" s="374"/>
      <c r="D181" s="314"/>
      <c r="E181" s="291"/>
      <c r="F181" s="323"/>
      <c r="G181" s="138">
        <v>5</v>
      </c>
      <c r="H181" s="291"/>
      <c r="I181" s="291"/>
      <c r="J181" s="301"/>
      <c r="K181" s="392"/>
      <c r="L181" s="413"/>
      <c r="M181" s="413"/>
      <c r="N181" s="438"/>
      <c r="O181" s="415"/>
    </row>
    <row r="182" spans="2:15" s="18" customFormat="1" ht="21" hidden="1" customHeight="1" thickBot="1" x14ac:dyDescent="0.35">
      <c r="B182" s="403"/>
      <c r="C182" s="374"/>
      <c r="D182" s="314"/>
      <c r="E182" s="291"/>
      <c r="F182" s="323"/>
      <c r="G182" s="138">
        <v>6</v>
      </c>
      <c r="H182" s="291"/>
      <c r="I182" s="291"/>
      <c r="J182" s="301"/>
      <c r="K182" s="392"/>
      <c r="L182" s="413"/>
      <c r="M182" s="413"/>
      <c r="N182" s="438"/>
      <c r="O182" s="415"/>
    </row>
    <row r="183" spans="2:15" s="18" customFormat="1" ht="21" hidden="1" customHeight="1" thickBot="1" x14ac:dyDescent="0.35">
      <c r="B183" s="403"/>
      <c r="C183" s="374"/>
      <c r="D183" s="314"/>
      <c r="E183" s="291"/>
      <c r="F183" s="323"/>
      <c r="G183" s="138">
        <v>7</v>
      </c>
      <c r="H183" s="291"/>
      <c r="I183" s="291"/>
      <c r="J183" s="301"/>
      <c r="K183" s="392"/>
      <c r="L183" s="413"/>
      <c r="M183" s="413"/>
      <c r="N183" s="438"/>
      <c r="O183" s="415"/>
    </row>
    <row r="184" spans="2:15" s="18" customFormat="1" ht="21" hidden="1" customHeight="1" thickBot="1" x14ac:dyDescent="0.35">
      <c r="B184" s="404"/>
      <c r="C184" s="375"/>
      <c r="D184" s="315"/>
      <c r="E184" s="292"/>
      <c r="F184" s="324"/>
      <c r="G184" s="140">
        <v>8</v>
      </c>
      <c r="H184" s="292"/>
      <c r="I184" s="292"/>
      <c r="J184" s="302"/>
      <c r="K184" s="392"/>
      <c r="L184" s="413"/>
      <c r="M184" s="413"/>
      <c r="N184" s="438"/>
      <c r="O184" s="415"/>
    </row>
    <row r="185" spans="2:15" s="18" customFormat="1" ht="34.5" customHeight="1" x14ac:dyDescent="0.3">
      <c r="B185" s="410"/>
      <c r="C185" s="369" t="s">
        <v>159</v>
      </c>
      <c r="D185" s="359" t="s">
        <v>8</v>
      </c>
      <c r="E185" s="350" t="s">
        <v>113</v>
      </c>
      <c r="F185" s="354" t="s">
        <v>114</v>
      </c>
      <c r="G185" s="293" t="s">
        <v>115</v>
      </c>
      <c r="H185" s="294"/>
      <c r="I185" s="295"/>
      <c r="J185" s="354" t="s">
        <v>116</v>
      </c>
      <c r="K185" s="395" t="s">
        <v>135</v>
      </c>
      <c r="L185" s="414"/>
      <c r="M185" s="414"/>
      <c r="N185" s="441"/>
      <c r="O185" s="416"/>
    </row>
    <row r="186" spans="2:15" s="18" customFormat="1" ht="57" customHeight="1" x14ac:dyDescent="0.3">
      <c r="B186" s="411"/>
      <c r="C186" s="370"/>
      <c r="D186" s="349"/>
      <c r="E186" s="351"/>
      <c r="F186" s="354"/>
      <c r="G186" s="356" t="s">
        <v>13</v>
      </c>
      <c r="H186" s="358" t="s">
        <v>15</v>
      </c>
      <c r="I186" s="296" t="s">
        <v>136</v>
      </c>
      <c r="J186" s="354"/>
      <c r="K186" s="395"/>
      <c r="L186" s="414"/>
      <c r="M186" s="414"/>
      <c r="N186" s="441"/>
      <c r="O186" s="416"/>
    </row>
    <row r="187" spans="2:15" s="18" customFormat="1" ht="24" customHeight="1" thickBot="1" x14ac:dyDescent="0.35">
      <c r="B187" s="411"/>
      <c r="C187" s="370"/>
      <c r="D187" s="360"/>
      <c r="E187" s="297"/>
      <c r="F187" s="355"/>
      <c r="G187" s="357"/>
      <c r="H187" s="296"/>
      <c r="I187" s="297"/>
      <c r="J187" s="355"/>
      <c r="K187" s="396"/>
      <c r="L187" s="414"/>
      <c r="M187" s="414"/>
      <c r="N187" s="441"/>
      <c r="O187" s="416"/>
    </row>
    <row r="188" spans="2:15" ht="16.5" x14ac:dyDescent="0.3">
      <c r="B188" s="402" t="str">
        <f>+LEFT(C188,3)</f>
        <v>5.1</v>
      </c>
      <c r="C188" s="306" t="s">
        <v>160</v>
      </c>
      <c r="D188" s="313" t="s">
        <v>161</v>
      </c>
      <c r="E188" s="282" t="s">
        <v>498</v>
      </c>
      <c r="F188" s="322">
        <v>3</v>
      </c>
      <c r="G188" s="141">
        <v>1</v>
      </c>
      <c r="H188" s="282" t="s">
        <v>594</v>
      </c>
      <c r="I188" s="279" t="s">
        <v>545</v>
      </c>
      <c r="J188" s="309">
        <v>2</v>
      </c>
      <c r="K188" s="392" t="str">
        <f t="shared" ref="K188:K228" si="23">+IF(OR(ISBLANK(F188),ISBLANK(J188)),"",IF(OR(AND(F188=1,J188=1),AND(F188=1,J188=2),AND(F188=1,J188=3)),"Deficiencia de control mayor (diseño y ejecución)",IF(OR(AND(F188=2,J188=2),AND(F188=3,J188=1),AND(F188=3,J188=2),AND(F188=2,J188=1)),"Deficiencia de control (diseño o ejecución)",IF(AND(F188=2,J188=3),"Oportunidad de mejora","Mantenimiento del control"))))</f>
        <v>Deficiencia de control (diseño o ejecución)</v>
      </c>
      <c r="L188" s="413">
        <f t="shared" ref="L188:L228" si="24">+IF(K188="",0,IF(K188="Deficiencia de control mayor (diseño y ejecución)",4,IF(K188="Deficiencia de control (diseño o ejecución)",20,IF(K188="Oportunidad de mejora",40,60))))</f>
        <v>20</v>
      </c>
      <c r="M188" s="413">
        <v>1.1896</v>
      </c>
      <c r="N188" s="438">
        <f t="shared" ref="N188:N228" si="25">+L188+M188</f>
        <v>21.189599999999999</v>
      </c>
      <c r="O188" s="415"/>
    </row>
    <row r="189" spans="2:15" ht="16.5" x14ac:dyDescent="0.3">
      <c r="B189" s="403"/>
      <c r="C189" s="307"/>
      <c r="D189" s="314"/>
      <c r="E189" s="283"/>
      <c r="F189" s="323"/>
      <c r="G189" s="138">
        <v>2</v>
      </c>
      <c r="H189" s="283"/>
      <c r="I189" s="284"/>
      <c r="J189" s="301"/>
      <c r="K189" s="392"/>
      <c r="L189" s="413"/>
      <c r="M189" s="413"/>
      <c r="N189" s="438"/>
      <c r="O189" s="415"/>
    </row>
    <row r="190" spans="2:15" ht="16.5" x14ac:dyDescent="0.3">
      <c r="B190" s="403"/>
      <c r="C190" s="307"/>
      <c r="D190" s="314"/>
      <c r="E190" s="283"/>
      <c r="F190" s="323"/>
      <c r="G190" s="138">
        <v>3</v>
      </c>
      <c r="H190" s="283"/>
      <c r="I190" s="284"/>
      <c r="J190" s="301"/>
      <c r="K190" s="392"/>
      <c r="L190" s="413"/>
      <c r="M190" s="413"/>
      <c r="N190" s="438"/>
      <c r="O190" s="415"/>
    </row>
    <row r="191" spans="2:15" s="18" customFormat="1" ht="16.5" x14ac:dyDescent="0.3">
      <c r="B191" s="403"/>
      <c r="C191" s="307"/>
      <c r="D191" s="314"/>
      <c r="E191" s="283"/>
      <c r="F191" s="323"/>
      <c r="G191" s="138">
        <v>4</v>
      </c>
      <c r="H191" s="283"/>
      <c r="I191" s="284"/>
      <c r="J191" s="301"/>
      <c r="K191" s="392"/>
      <c r="L191" s="413"/>
      <c r="M191" s="413"/>
      <c r="N191" s="438"/>
      <c r="O191" s="415"/>
    </row>
    <row r="192" spans="2:15" s="18" customFormat="1" ht="16.5" x14ac:dyDescent="0.3">
      <c r="B192" s="403"/>
      <c r="C192" s="307"/>
      <c r="D192" s="314"/>
      <c r="E192" s="283"/>
      <c r="F192" s="323"/>
      <c r="G192" s="138">
        <v>5</v>
      </c>
      <c r="H192" s="283"/>
      <c r="I192" s="284"/>
      <c r="J192" s="301"/>
      <c r="K192" s="392"/>
      <c r="L192" s="413"/>
      <c r="M192" s="413"/>
      <c r="N192" s="438"/>
      <c r="O192" s="415"/>
    </row>
    <row r="193" spans="2:15" s="18" customFormat="1" ht="53.25" customHeight="1" x14ac:dyDescent="0.3">
      <c r="B193" s="403"/>
      <c r="C193" s="307"/>
      <c r="D193" s="314"/>
      <c r="E193" s="283"/>
      <c r="F193" s="323"/>
      <c r="G193" s="138">
        <v>6</v>
      </c>
      <c r="H193" s="283"/>
      <c r="I193" s="284"/>
      <c r="J193" s="301"/>
      <c r="K193" s="392"/>
      <c r="L193" s="413"/>
      <c r="M193" s="413"/>
      <c r="N193" s="438"/>
      <c r="O193" s="415"/>
    </row>
    <row r="194" spans="2:15" s="18" customFormat="1" ht="5.25" customHeight="1" thickBot="1" x14ac:dyDescent="0.35">
      <c r="B194" s="403"/>
      <c r="C194" s="307"/>
      <c r="D194" s="314"/>
      <c r="E194" s="283"/>
      <c r="F194" s="323"/>
      <c r="G194" s="138">
        <v>7</v>
      </c>
      <c r="H194" s="283"/>
      <c r="I194" s="284"/>
      <c r="J194" s="301"/>
      <c r="K194" s="392"/>
      <c r="L194" s="413"/>
      <c r="M194" s="413"/>
      <c r="N194" s="438"/>
      <c r="O194" s="415"/>
    </row>
    <row r="195" spans="2:15" s="18" customFormat="1" ht="90.75" hidden="1" customHeight="1" thickBot="1" x14ac:dyDescent="0.35">
      <c r="B195" s="404"/>
      <c r="C195" s="308"/>
      <c r="D195" s="315"/>
      <c r="E195" s="371"/>
      <c r="F195" s="324"/>
      <c r="G195" s="140">
        <v>8</v>
      </c>
      <c r="H195" s="185"/>
      <c r="I195" s="183"/>
      <c r="J195" s="302"/>
      <c r="K195" s="392"/>
      <c r="L195" s="413"/>
      <c r="M195" s="413"/>
      <c r="N195" s="438"/>
      <c r="O195" s="415"/>
    </row>
    <row r="196" spans="2:15" s="18" customFormat="1" ht="16.5" x14ac:dyDescent="0.3">
      <c r="B196" s="402" t="str">
        <f>+LEFT(C196,3)</f>
        <v>5.2</v>
      </c>
      <c r="C196" s="306" t="s">
        <v>162</v>
      </c>
      <c r="D196" s="313" t="s">
        <v>163</v>
      </c>
      <c r="E196" s="285" t="s">
        <v>530</v>
      </c>
      <c r="F196" s="309">
        <v>3</v>
      </c>
      <c r="G196" s="141">
        <v>1</v>
      </c>
      <c r="H196" s="285" t="s">
        <v>499</v>
      </c>
      <c r="I196" s="285" t="s">
        <v>461</v>
      </c>
      <c r="J196" s="309">
        <v>2</v>
      </c>
      <c r="K196" s="392" t="str">
        <f t="shared" si="23"/>
        <v>Deficiencia de control (diseño o ejecución)</v>
      </c>
      <c r="L196" s="413">
        <f t="shared" si="24"/>
        <v>20</v>
      </c>
      <c r="M196" s="413">
        <v>1.28965</v>
      </c>
      <c r="N196" s="438">
        <f t="shared" si="25"/>
        <v>21.289650000000002</v>
      </c>
      <c r="O196" s="415"/>
    </row>
    <row r="197" spans="2:15" s="18" customFormat="1" ht="16.5" x14ac:dyDescent="0.3">
      <c r="B197" s="403"/>
      <c r="C197" s="307"/>
      <c r="D197" s="314"/>
      <c r="E197" s="286"/>
      <c r="F197" s="301"/>
      <c r="G197" s="138">
        <v>2</v>
      </c>
      <c r="H197" s="286"/>
      <c r="I197" s="286"/>
      <c r="J197" s="301"/>
      <c r="K197" s="392"/>
      <c r="L197" s="413"/>
      <c r="M197" s="413"/>
      <c r="N197" s="438"/>
      <c r="O197" s="415"/>
    </row>
    <row r="198" spans="2:15" s="18" customFormat="1" ht="16.5" x14ac:dyDescent="0.3">
      <c r="B198" s="403"/>
      <c r="C198" s="307"/>
      <c r="D198" s="314"/>
      <c r="E198" s="286"/>
      <c r="F198" s="301"/>
      <c r="G198" s="138">
        <v>3</v>
      </c>
      <c r="H198" s="286"/>
      <c r="I198" s="286"/>
      <c r="J198" s="301"/>
      <c r="K198" s="392"/>
      <c r="L198" s="413"/>
      <c r="M198" s="413"/>
      <c r="N198" s="438"/>
      <c r="O198" s="415"/>
    </row>
    <row r="199" spans="2:15" s="18" customFormat="1" ht="16.5" x14ac:dyDescent="0.3">
      <c r="B199" s="403"/>
      <c r="C199" s="307"/>
      <c r="D199" s="314"/>
      <c r="E199" s="286"/>
      <c r="F199" s="301"/>
      <c r="G199" s="138">
        <v>4</v>
      </c>
      <c r="H199" s="286"/>
      <c r="I199" s="286"/>
      <c r="J199" s="301"/>
      <c r="K199" s="392"/>
      <c r="L199" s="413"/>
      <c r="M199" s="413"/>
      <c r="N199" s="438"/>
      <c r="O199" s="415"/>
    </row>
    <row r="200" spans="2:15" s="18" customFormat="1" ht="109.5" customHeight="1" thickBot="1" x14ac:dyDescent="0.35">
      <c r="B200" s="403"/>
      <c r="C200" s="307"/>
      <c r="D200" s="314"/>
      <c r="E200" s="286"/>
      <c r="F200" s="301"/>
      <c r="G200" s="138">
        <v>5</v>
      </c>
      <c r="H200" s="286"/>
      <c r="I200" s="286"/>
      <c r="J200" s="301"/>
      <c r="K200" s="392"/>
      <c r="L200" s="413"/>
      <c r="M200" s="413"/>
      <c r="N200" s="438"/>
      <c r="O200" s="415"/>
    </row>
    <row r="201" spans="2:15" s="18" customFormat="1" ht="1.5" hidden="1" customHeight="1" thickBot="1" x14ac:dyDescent="0.35">
      <c r="B201" s="403"/>
      <c r="C201" s="307"/>
      <c r="D201" s="314"/>
      <c r="E201" s="286"/>
      <c r="F201" s="301"/>
      <c r="G201" s="138">
        <v>6</v>
      </c>
      <c r="H201" s="184"/>
      <c r="I201" s="182"/>
      <c r="J201" s="301"/>
      <c r="K201" s="392"/>
      <c r="L201" s="413"/>
      <c r="M201" s="413"/>
      <c r="N201" s="438"/>
      <c r="O201" s="415"/>
    </row>
    <row r="202" spans="2:15" s="18" customFormat="1" ht="17.25" hidden="1" customHeight="1" thickBot="1" x14ac:dyDescent="0.35">
      <c r="B202" s="403"/>
      <c r="C202" s="307"/>
      <c r="D202" s="314"/>
      <c r="E202" s="286"/>
      <c r="F202" s="301"/>
      <c r="G202" s="138">
        <v>7</v>
      </c>
      <c r="H202" s="184"/>
      <c r="I202" s="182"/>
      <c r="J202" s="301"/>
      <c r="K202" s="392"/>
      <c r="L202" s="413"/>
      <c r="M202" s="413"/>
      <c r="N202" s="438"/>
      <c r="O202" s="415"/>
    </row>
    <row r="203" spans="2:15" s="18" customFormat="1" ht="17.25" hidden="1" customHeight="1" thickBot="1" x14ac:dyDescent="0.35">
      <c r="B203" s="404"/>
      <c r="C203" s="308"/>
      <c r="D203" s="315"/>
      <c r="E203" s="372"/>
      <c r="F203" s="302"/>
      <c r="G203" s="140">
        <v>8</v>
      </c>
      <c r="H203" s="185"/>
      <c r="I203" s="183"/>
      <c r="J203" s="302"/>
      <c r="K203" s="392"/>
      <c r="L203" s="413"/>
      <c r="M203" s="413"/>
      <c r="N203" s="438"/>
      <c r="O203" s="415"/>
    </row>
    <row r="204" spans="2:15" s="18" customFormat="1" ht="16.5" customHeight="1" x14ac:dyDescent="0.3">
      <c r="B204" s="402" t="str">
        <f>+LEFT(C204,3)</f>
        <v>5.3</v>
      </c>
      <c r="C204" s="306" t="s">
        <v>164</v>
      </c>
      <c r="D204" s="313" t="s">
        <v>165</v>
      </c>
      <c r="E204" s="290" t="s">
        <v>595</v>
      </c>
      <c r="F204" s="309">
        <v>3</v>
      </c>
      <c r="G204" s="141">
        <v>1</v>
      </c>
      <c r="H204" s="276" t="s">
        <v>596</v>
      </c>
      <c r="I204" s="276" t="s">
        <v>546</v>
      </c>
      <c r="J204" s="309">
        <v>2</v>
      </c>
      <c r="K204" s="392" t="str">
        <f t="shared" si="23"/>
        <v>Deficiencia de control (diseño o ejecución)</v>
      </c>
      <c r="L204" s="413">
        <f t="shared" si="24"/>
        <v>20</v>
      </c>
      <c r="M204" s="413">
        <v>1.3896299999999999</v>
      </c>
      <c r="N204" s="438">
        <f t="shared" si="25"/>
        <v>21.38963</v>
      </c>
      <c r="O204" s="415"/>
    </row>
    <row r="205" spans="2:15" s="18" customFormat="1" ht="16.5" x14ac:dyDescent="0.3">
      <c r="B205" s="403"/>
      <c r="C205" s="307"/>
      <c r="D205" s="314"/>
      <c r="E205" s="291"/>
      <c r="F205" s="301"/>
      <c r="G205" s="138">
        <v>2</v>
      </c>
      <c r="H205" s="277"/>
      <c r="I205" s="277"/>
      <c r="J205" s="301"/>
      <c r="K205" s="392"/>
      <c r="L205" s="413"/>
      <c r="M205" s="413"/>
      <c r="N205" s="438"/>
      <c r="O205" s="415"/>
    </row>
    <row r="206" spans="2:15" s="18" customFormat="1" ht="16.5" x14ac:dyDescent="0.3">
      <c r="B206" s="403"/>
      <c r="C206" s="307"/>
      <c r="D206" s="314"/>
      <c r="E206" s="291"/>
      <c r="F206" s="301"/>
      <c r="G206" s="138">
        <v>3</v>
      </c>
      <c r="H206" s="277"/>
      <c r="I206" s="277"/>
      <c r="J206" s="301"/>
      <c r="K206" s="392"/>
      <c r="L206" s="413"/>
      <c r="M206" s="413"/>
      <c r="N206" s="438"/>
      <c r="O206" s="415"/>
    </row>
    <row r="207" spans="2:15" s="18" customFormat="1" ht="16.5" x14ac:dyDescent="0.3">
      <c r="B207" s="403"/>
      <c r="C207" s="307"/>
      <c r="D207" s="314"/>
      <c r="E207" s="291"/>
      <c r="F207" s="301"/>
      <c r="G207" s="138">
        <v>4</v>
      </c>
      <c r="H207" s="277"/>
      <c r="I207" s="277"/>
      <c r="J207" s="301"/>
      <c r="K207" s="392"/>
      <c r="L207" s="413"/>
      <c r="M207" s="413"/>
      <c r="N207" s="438"/>
      <c r="O207" s="415"/>
    </row>
    <row r="208" spans="2:15" s="18" customFormat="1" ht="16.5" x14ac:dyDescent="0.3">
      <c r="B208" s="403"/>
      <c r="C208" s="307"/>
      <c r="D208" s="314"/>
      <c r="E208" s="291"/>
      <c r="F208" s="301"/>
      <c r="G208" s="138">
        <v>5</v>
      </c>
      <c r="H208" s="277"/>
      <c r="I208" s="277"/>
      <c r="J208" s="301"/>
      <c r="K208" s="392"/>
      <c r="L208" s="413"/>
      <c r="M208" s="413"/>
      <c r="N208" s="438"/>
      <c r="O208" s="415"/>
    </row>
    <row r="209" spans="2:15" s="18" customFormat="1" ht="10.5" customHeight="1" x14ac:dyDescent="0.3">
      <c r="B209" s="403"/>
      <c r="C209" s="307"/>
      <c r="D209" s="314"/>
      <c r="E209" s="291"/>
      <c r="F209" s="301"/>
      <c r="G209" s="138">
        <v>6</v>
      </c>
      <c r="H209" s="277"/>
      <c r="I209" s="277"/>
      <c r="J209" s="301"/>
      <c r="K209" s="392"/>
      <c r="L209" s="413"/>
      <c r="M209" s="413"/>
      <c r="N209" s="438"/>
      <c r="O209" s="415"/>
    </row>
    <row r="210" spans="2:15" s="18" customFormat="1" ht="17.25" hidden="1" customHeight="1" thickBot="1" x14ac:dyDescent="0.35">
      <c r="B210" s="403"/>
      <c r="C210" s="307"/>
      <c r="D210" s="314"/>
      <c r="E210" s="291"/>
      <c r="F210" s="301"/>
      <c r="G210" s="138">
        <v>7</v>
      </c>
      <c r="H210" s="277"/>
      <c r="I210" s="277"/>
      <c r="J210" s="301"/>
      <c r="K210" s="392"/>
      <c r="L210" s="413"/>
      <c r="M210" s="413"/>
      <c r="N210" s="438"/>
      <c r="O210" s="415"/>
    </row>
    <row r="211" spans="2:15" s="18" customFormat="1" ht="43.5" customHeight="1" thickBot="1" x14ac:dyDescent="0.35">
      <c r="B211" s="404"/>
      <c r="C211" s="308"/>
      <c r="D211" s="315"/>
      <c r="E211" s="292"/>
      <c r="F211" s="302"/>
      <c r="G211" s="140">
        <v>8</v>
      </c>
      <c r="H211" s="278"/>
      <c r="I211" s="278"/>
      <c r="J211" s="302"/>
      <c r="K211" s="392"/>
      <c r="L211" s="413"/>
      <c r="M211" s="413"/>
      <c r="N211" s="438"/>
      <c r="O211" s="415"/>
    </row>
    <row r="212" spans="2:15" ht="20.25" customHeight="1" x14ac:dyDescent="0.3">
      <c r="B212" s="402" t="str">
        <f>+LEFT(C212,3)</f>
        <v>5.4</v>
      </c>
      <c r="C212" s="306" t="s">
        <v>166</v>
      </c>
      <c r="D212" s="313" t="s">
        <v>167</v>
      </c>
      <c r="E212" s="290" t="s">
        <v>547</v>
      </c>
      <c r="F212" s="322">
        <v>3</v>
      </c>
      <c r="G212" s="141">
        <v>1</v>
      </c>
      <c r="H212" s="287" t="s">
        <v>549</v>
      </c>
      <c r="I212" s="290" t="s">
        <v>548</v>
      </c>
      <c r="J212" s="309">
        <v>2</v>
      </c>
      <c r="K212" s="392" t="str">
        <f t="shared" si="23"/>
        <v>Deficiencia de control (diseño o ejecución)</v>
      </c>
      <c r="L212" s="413">
        <f t="shared" si="24"/>
        <v>20</v>
      </c>
      <c r="M212" s="413">
        <v>1.48963</v>
      </c>
      <c r="N212" s="438">
        <f t="shared" si="25"/>
        <v>21.489629999999998</v>
      </c>
      <c r="O212" s="415"/>
    </row>
    <row r="213" spans="2:15" ht="20.25" customHeight="1" x14ac:dyDescent="0.3">
      <c r="B213" s="403"/>
      <c r="C213" s="307"/>
      <c r="D213" s="314"/>
      <c r="E213" s="291"/>
      <c r="F213" s="323"/>
      <c r="G213" s="138">
        <v>2</v>
      </c>
      <c r="H213" s="288"/>
      <c r="I213" s="291"/>
      <c r="J213" s="301"/>
      <c r="K213" s="392"/>
      <c r="L213" s="413"/>
      <c r="M213" s="413"/>
      <c r="N213" s="438"/>
      <c r="O213" s="415"/>
    </row>
    <row r="214" spans="2:15" ht="20.25" customHeight="1" x14ac:dyDescent="0.3">
      <c r="B214" s="403"/>
      <c r="C214" s="307"/>
      <c r="D214" s="314"/>
      <c r="E214" s="291"/>
      <c r="F214" s="323"/>
      <c r="G214" s="138">
        <v>3</v>
      </c>
      <c r="H214" s="288"/>
      <c r="I214" s="291"/>
      <c r="J214" s="301"/>
      <c r="K214" s="392"/>
      <c r="L214" s="413"/>
      <c r="M214" s="413"/>
      <c r="N214" s="438"/>
      <c r="O214" s="415"/>
    </row>
    <row r="215" spans="2:15" s="18" customFormat="1" ht="20.25" customHeight="1" x14ac:dyDescent="0.3">
      <c r="B215" s="403"/>
      <c r="C215" s="307"/>
      <c r="D215" s="314"/>
      <c r="E215" s="291"/>
      <c r="F215" s="323"/>
      <c r="G215" s="138">
        <v>4</v>
      </c>
      <c r="H215" s="288"/>
      <c r="I215" s="291"/>
      <c r="J215" s="301"/>
      <c r="K215" s="392"/>
      <c r="L215" s="413"/>
      <c r="M215" s="413"/>
      <c r="N215" s="438"/>
      <c r="O215" s="415"/>
    </row>
    <row r="216" spans="2:15" s="18" customFormat="1" ht="20.25" customHeight="1" x14ac:dyDescent="0.3">
      <c r="B216" s="403"/>
      <c r="C216" s="307"/>
      <c r="D216" s="314"/>
      <c r="E216" s="291"/>
      <c r="F216" s="323"/>
      <c r="G216" s="138">
        <v>5</v>
      </c>
      <c r="H216" s="288"/>
      <c r="I216" s="291"/>
      <c r="J216" s="301"/>
      <c r="K216" s="392"/>
      <c r="L216" s="413"/>
      <c r="M216" s="413"/>
      <c r="N216" s="438"/>
      <c r="O216" s="415"/>
    </row>
    <row r="217" spans="2:15" s="18" customFormat="1" ht="20.25" customHeight="1" x14ac:dyDescent="0.3">
      <c r="B217" s="403"/>
      <c r="C217" s="307"/>
      <c r="D217" s="314"/>
      <c r="E217" s="291"/>
      <c r="F217" s="323"/>
      <c r="G217" s="138">
        <v>6</v>
      </c>
      <c r="H217" s="288"/>
      <c r="I217" s="291"/>
      <c r="J217" s="301"/>
      <c r="K217" s="392"/>
      <c r="L217" s="413"/>
      <c r="M217" s="413"/>
      <c r="N217" s="438"/>
      <c r="O217" s="415"/>
    </row>
    <row r="218" spans="2:15" s="18" customFormat="1" ht="5.25" customHeight="1" thickBot="1" x14ac:dyDescent="0.35">
      <c r="B218" s="403"/>
      <c r="C218" s="307"/>
      <c r="D218" s="314"/>
      <c r="E218" s="291"/>
      <c r="F218" s="323"/>
      <c r="G218" s="138">
        <v>7</v>
      </c>
      <c r="H218" s="288"/>
      <c r="I218" s="291"/>
      <c r="J218" s="301"/>
      <c r="K218" s="392"/>
      <c r="L218" s="413"/>
      <c r="M218" s="413"/>
      <c r="N218" s="438"/>
      <c r="O218" s="415"/>
    </row>
    <row r="219" spans="2:15" s="18" customFormat="1" ht="20.25" hidden="1" customHeight="1" thickBot="1" x14ac:dyDescent="0.35">
      <c r="B219" s="404"/>
      <c r="C219" s="308"/>
      <c r="D219" s="315"/>
      <c r="E219" s="292"/>
      <c r="F219" s="324"/>
      <c r="G219" s="140">
        <v>8</v>
      </c>
      <c r="H219" s="289"/>
      <c r="I219" s="292"/>
      <c r="J219" s="302"/>
      <c r="K219" s="392"/>
      <c r="L219" s="413"/>
      <c r="M219" s="413"/>
      <c r="N219" s="438"/>
      <c r="O219" s="415"/>
    </row>
    <row r="220" spans="2:15" s="18" customFormat="1" ht="20.25" customHeight="1" x14ac:dyDescent="0.3">
      <c r="B220" s="402" t="str">
        <f>+LEFT(C220,3)</f>
        <v>5.5</v>
      </c>
      <c r="C220" s="306" t="s">
        <v>168</v>
      </c>
      <c r="D220" s="313" t="s">
        <v>169</v>
      </c>
      <c r="E220" s="290" t="s">
        <v>552</v>
      </c>
      <c r="F220" s="309">
        <v>3</v>
      </c>
      <c r="G220" s="141">
        <v>1</v>
      </c>
      <c r="H220" s="287" t="s">
        <v>597</v>
      </c>
      <c r="I220" s="290" t="s">
        <v>553</v>
      </c>
      <c r="J220" s="309">
        <v>3</v>
      </c>
      <c r="K220" s="392" t="str">
        <f t="shared" si="23"/>
        <v>Mantenimiento del control</v>
      </c>
      <c r="L220" s="413">
        <f t="shared" si="24"/>
        <v>60</v>
      </c>
      <c r="M220" s="413">
        <v>1.58965</v>
      </c>
      <c r="N220" s="438">
        <f t="shared" si="25"/>
        <v>61.589649999999999</v>
      </c>
      <c r="O220" s="415"/>
    </row>
    <row r="221" spans="2:15" s="18" customFormat="1" ht="20.25" customHeight="1" x14ac:dyDescent="0.3">
      <c r="B221" s="403"/>
      <c r="C221" s="307"/>
      <c r="D221" s="314"/>
      <c r="E221" s="291"/>
      <c r="F221" s="301"/>
      <c r="G221" s="138">
        <v>2</v>
      </c>
      <c r="H221" s="288"/>
      <c r="I221" s="291"/>
      <c r="J221" s="301"/>
      <c r="K221" s="392"/>
      <c r="L221" s="413"/>
      <c r="M221" s="413"/>
      <c r="N221" s="438"/>
      <c r="O221" s="415"/>
    </row>
    <row r="222" spans="2:15" s="18" customFormat="1" ht="20.25" customHeight="1" x14ac:dyDescent="0.3">
      <c r="B222" s="403"/>
      <c r="C222" s="307"/>
      <c r="D222" s="314"/>
      <c r="E222" s="291"/>
      <c r="F222" s="301"/>
      <c r="G222" s="138">
        <v>3</v>
      </c>
      <c r="H222" s="288"/>
      <c r="I222" s="291"/>
      <c r="J222" s="301"/>
      <c r="K222" s="392"/>
      <c r="L222" s="413"/>
      <c r="M222" s="413"/>
      <c r="N222" s="438"/>
      <c r="O222" s="415"/>
    </row>
    <row r="223" spans="2:15" s="18" customFormat="1" ht="20.25" customHeight="1" x14ac:dyDescent="0.3">
      <c r="B223" s="403"/>
      <c r="C223" s="307"/>
      <c r="D223" s="314"/>
      <c r="E223" s="291"/>
      <c r="F223" s="301"/>
      <c r="G223" s="138">
        <v>4</v>
      </c>
      <c r="H223" s="288"/>
      <c r="I223" s="291"/>
      <c r="J223" s="301"/>
      <c r="K223" s="392"/>
      <c r="L223" s="413"/>
      <c r="M223" s="413"/>
      <c r="N223" s="438"/>
      <c r="O223" s="415"/>
    </row>
    <row r="224" spans="2:15" s="18" customFormat="1" ht="0.75" customHeight="1" x14ac:dyDescent="0.3">
      <c r="B224" s="403"/>
      <c r="C224" s="307"/>
      <c r="D224" s="314"/>
      <c r="E224" s="291"/>
      <c r="F224" s="301"/>
      <c r="G224" s="138">
        <v>5</v>
      </c>
      <c r="H224" s="288"/>
      <c r="I224" s="291"/>
      <c r="J224" s="301"/>
      <c r="K224" s="392"/>
      <c r="L224" s="413"/>
      <c r="M224" s="413"/>
      <c r="N224" s="438"/>
      <c r="O224" s="415"/>
    </row>
    <row r="225" spans="1:15" s="18" customFormat="1" ht="20.25" hidden="1" customHeight="1" thickBot="1" x14ac:dyDescent="0.35">
      <c r="B225" s="403"/>
      <c r="C225" s="307"/>
      <c r="D225" s="314"/>
      <c r="E225" s="291"/>
      <c r="F225" s="301"/>
      <c r="G225" s="138">
        <v>6</v>
      </c>
      <c r="H225" s="288"/>
      <c r="I225" s="291"/>
      <c r="J225" s="301"/>
      <c r="K225" s="392"/>
      <c r="L225" s="413"/>
      <c r="M225" s="413"/>
      <c r="N225" s="438"/>
      <c r="O225" s="415"/>
    </row>
    <row r="226" spans="1:15" s="18" customFormat="1" ht="20.25" hidden="1" customHeight="1" thickBot="1" x14ac:dyDescent="0.35">
      <c r="B226" s="403"/>
      <c r="C226" s="307"/>
      <c r="D226" s="314"/>
      <c r="E226" s="291"/>
      <c r="F226" s="301"/>
      <c r="G226" s="138">
        <v>7</v>
      </c>
      <c r="H226" s="288"/>
      <c r="I226" s="291"/>
      <c r="J226" s="301"/>
      <c r="K226" s="392"/>
      <c r="L226" s="413"/>
      <c r="M226" s="413"/>
      <c r="N226" s="438"/>
      <c r="O226" s="415"/>
    </row>
    <row r="227" spans="1:15" s="18" customFormat="1" ht="12" customHeight="1" thickBot="1" x14ac:dyDescent="0.35">
      <c r="B227" s="404"/>
      <c r="C227" s="308"/>
      <c r="D227" s="315"/>
      <c r="E227" s="292"/>
      <c r="F227" s="302"/>
      <c r="G227" s="140">
        <v>8</v>
      </c>
      <c r="H227" s="289"/>
      <c r="I227" s="292"/>
      <c r="J227" s="302"/>
      <c r="K227" s="392"/>
      <c r="L227" s="413"/>
      <c r="M227" s="413"/>
      <c r="N227" s="438"/>
      <c r="O227" s="415"/>
    </row>
    <row r="228" spans="1:15" ht="26.25" customHeight="1" x14ac:dyDescent="0.3">
      <c r="B228" s="402" t="str">
        <f>+LEFT(C228,3)</f>
        <v>5.6</v>
      </c>
      <c r="C228" s="306" t="s">
        <v>170</v>
      </c>
      <c r="D228" s="313" t="s">
        <v>169</v>
      </c>
      <c r="E228" s="287" t="s">
        <v>550</v>
      </c>
      <c r="F228" s="322">
        <v>3</v>
      </c>
      <c r="G228" s="141">
        <v>1</v>
      </c>
      <c r="H228" s="290" t="s">
        <v>598</v>
      </c>
      <c r="I228" s="276" t="s">
        <v>551</v>
      </c>
      <c r="J228" s="309">
        <v>2</v>
      </c>
      <c r="K228" s="392" t="str">
        <f t="shared" si="23"/>
        <v>Deficiencia de control (diseño o ejecución)</v>
      </c>
      <c r="L228" s="413">
        <f t="shared" si="24"/>
        <v>20</v>
      </c>
      <c r="M228" s="413">
        <v>1.6896530000000001</v>
      </c>
      <c r="N228" s="438">
        <f t="shared" si="25"/>
        <v>21.689653</v>
      </c>
      <c r="O228" s="415"/>
    </row>
    <row r="229" spans="1:15" ht="20.100000000000001" customHeight="1" x14ac:dyDescent="0.3">
      <c r="B229" s="403"/>
      <c r="C229" s="307"/>
      <c r="D229" s="314"/>
      <c r="E229" s="288"/>
      <c r="F229" s="323"/>
      <c r="G229" s="138">
        <v>2</v>
      </c>
      <c r="H229" s="291"/>
      <c r="I229" s="277"/>
      <c r="J229" s="301"/>
      <c r="K229" s="392"/>
      <c r="L229" s="413"/>
      <c r="M229" s="413"/>
      <c r="N229" s="438"/>
      <c r="O229" s="415"/>
    </row>
    <row r="230" spans="1:15" s="18" customFormat="1" ht="20.100000000000001" customHeight="1" x14ac:dyDescent="0.3">
      <c r="B230" s="403"/>
      <c r="C230" s="307"/>
      <c r="D230" s="314"/>
      <c r="E230" s="288"/>
      <c r="F230" s="323"/>
      <c r="G230" s="138">
        <v>3</v>
      </c>
      <c r="H230" s="291"/>
      <c r="I230" s="277"/>
      <c r="J230" s="301"/>
      <c r="K230" s="392"/>
      <c r="L230" s="413"/>
      <c r="M230" s="413"/>
      <c r="N230" s="438"/>
      <c r="O230" s="415"/>
    </row>
    <row r="231" spans="1:15" s="18" customFormat="1" ht="25.5" customHeight="1" x14ac:dyDescent="0.3">
      <c r="B231" s="403"/>
      <c r="C231" s="307"/>
      <c r="D231" s="314"/>
      <c r="E231" s="288"/>
      <c r="F231" s="323"/>
      <c r="G231" s="138">
        <v>4</v>
      </c>
      <c r="H231" s="291"/>
      <c r="I231" s="277"/>
      <c r="J231" s="301"/>
      <c r="K231" s="392"/>
      <c r="L231" s="413"/>
      <c r="M231" s="413"/>
      <c r="N231" s="438"/>
      <c r="O231" s="415"/>
    </row>
    <row r="232" spans="1:15" s="18" customFormat="1" ht="15.75" customHeight="1" x14ac:dyDescent="0.3">
      <c r="B232" s="403"/>
      <c r="C232" s="307"/>
      <c r="D232" s="314"/>
      <c r="E232" s="288"/>
      <c r="F232" s="323"/>
      <c r="G232" s="138">
        <v>5</v>
      </c>
      <c r="H232" s="291"/>
      <c r="I232" s="277"/>
      <c r="J232" s="301"/>
      <c r="K232" s="392"/>
      <c r="L232" s="413"/>
      <c r="M232" s="413"/>
      <c r="N232" s="438"/>
      <c r="O232" s="415"/>
    </row>
    <row r="233" spans="1:15" s="18" customFormat="1" ht="15.75" customHeight="1" x14ac:dyDescent="0.3">
      <c r="B233" s="403"/>
      <c r="C233" s="307"/>
      <c r="D233" s="314"/>
      <c r="E233" s="288"/>
      <c r="F233" s="323"/>
      <c r="G233" s="138">
        <v>6</v>
      </c>
      <c r="H233" s="291"/>
      <c r="I233" s="277"/>
      <c r="J233" s="301"/>
      <c r="K233" s="392"/>
      <c r="L233" s="413"/>
      <c r="M233" s="413"/>
      <c r="N233" s="438"/>
      <c r="O233" s="415"/>
    </row>
    <row r="234" spans="1:15" s="18" customFormat="1" ht="2.25" customHeight="1" x14ac:dyDescent="0.3">
      <c r="B234" s="403"/>
      <c r="C234" s="307"/>
      <c r="D234" s="314"/>
      <c r="E234" s="288"/>
      <c r="F234" s="323"/>
      <c r="G234" s="138">
        <v>7</v>
      </c>
      <c r="H234" s="291"/>
      <c r="I234" s="277"/>
      <c r="J234" s="301"/>
      <c r="K234" s="392"/>
      <c r="L234" s="413"/>
      <c r="M234" s="413"/>
      <c r="N234" s="438"/>
      <c r="O234" s="415"/>
    </row>
    <row r="235" spans="1:15" s="18" customFormat="1" ht="25.5" hidden="1" customHeight="1" thickBot="1" x14ac:dyDescent="0.35">
      <c r="B235" s="404"/>
      <c r="C235" s="308"/>
      <c r="D235" s="315"/>
      <c r="E235" s="289"/>
      <c r="F235" s="324"/>
      <c r="G235" s="140">
        <v>8</v>
      </c>
      <c r="H235" s="292"/>
      <c r="I235" s="278"/>
      <c r="J235" s="302"/>
      <c r="K235" s="392"/>
      <c r="L235" s="413"/>
      <c r="M235" s="413"/>
      <c r="N235" s="438"/>
      <c r="O235" s="415"/>
    </row>
    <row r="236" spans="1:15" ht="22.5" customHeight="1" x14ac:dyDescent="0.3">
      <c r="A236" s="18"/>
    </row>
    <row r="237" spans="1:15" ht="12" customHeight="1" x14ac:dyDescent="0.3">
      <c r="A237" s="18"/>
      <c r="B237" s="136"/>
      <c r="C237" s="18"/>
      <c r="D237" s="18"/>
      <c r="E237" s="18"/>
      <c r="F237" s="18"/>
      <c r="G237" s="18"/>
      <c r="H237" s="18"/>
      <c r="I237" s="18"/>
    </row>
    <row r="238" spans="1:15" ht="22.5" customHeight="1" x14ac:dyDescent="0.3"/>
    <row r="239" spans="1:15" ht="22.5" customHeight="1" x14ac:dyDescent="0.3"/>
    <row r="240" spans="1:15" ht="22.5" customHeight="1" x14ac:dyDescent="0.3"/>
    <row r="241" ht="22.5" customHeight="1" x14ac:dyDescent="0.3"/>
    <row r="242" ht="22.5" customHeight="1" x14ac:dyDescent="0.3"/>
    <row r="243" ht="22.5" customHeight="1" x14ac:dyDescent="0.3"/>
    <row r="244" ht="22.5" customHeight="1" x14ac:dyDescent="0.3"/>
    <row r="245" ht="22.5" customHeight="1" x14ac:dyDescent="0.3"/>
    <row r="246" ht="22.5" customHeight="1" x14ac:dyDescent="0.3"/>
    <row r="247" ht="22.5" customHeight="1" x14ac:dyDescent="0.3"/>
    <row r="248" ht="22.5" customHeight="1" x14ac:dyDescent="0.3"/>
    <row r="249" ht="22.5" customHeight="1" x14ac:dyDescent="0.3"/>
    <row r="250" ht="22.5" customHeight="1" x14ac:dyDescent="0.3"/>
    <row r="251" ht="22.5" customHeight="1" x14ac:dyDescent="0.3"/>
    <row r="252" ht="22.5" customHeight="1" x14ac:dyDescent="0.3"/>
    <row r="253" ht="22.5" customHeight="1" x14ac:dyDescent="0.3"/>
    <row r="254" ht="22.5" customHeight="1" x14ac:dyDescent="0.3"/>
    <row r="255" ht="22.5" customHeight="1" x14ac:dyDescent="0.3"/>
    <row r="256" ht="22.5" customHeight="1" x14ac:dyDescent="0.3"/>
    <row r="257" ht="22.5" customHeight="1" x14ac:dyDescent="0.3"/>
    <row r="258" ht="22.5" customHeight="1" x14ac:dyDescent="0.3"/>
    <row r="259" ht="22.5" customHeight="1" x14ac:dyDescent="0.3"/>
    <row r="260" ht="22.5" customHeight="1" x14ac:dyDescent="0.3"/>
    <row r="261" ht="22.5" customHeight="1" x14ac:dyDescent="0.3"/>
    <row r="262" ht="22.5" customHeight="1" x14ac:dyDescent="0.3"/>
    <row r="263" ht="22.5" customHeight="1" x14ac:dyDescent="0.3"/>
    <row r="264" ht="22.5" customHeight="1" x14ac:dyDescent="0.3"/>
    <row r="265" ht="22.5" customHeight="1" x14ac:dyDescent="0.3"/>
    <row r="266" ht="22.5" customHeight="1" x14ac:dyDescent="0.3"/>
    <row r="267" ht="22.5" customHeight="1" x14ac:dyDescent="0.3"/>
    <row r="268" ht="22.5" customHeight="1" x14ac:dyDescent="0.3"/>
    <row r="269" ht="22.5" customHeight="1" x14ac:dyDescent="0.3"/>
    <row r="270" ht="22.5" customHeight="1" x14ac:dyDescent="0.3"/>
    <row r="271" ht="22.5" customHeight="1" x14ac:dyDescent="0.3"/>
    <row r="272" ht="22.5" customHeight="1" x14ac:dyDescent="0.3"/>
    <row r="273" ht="22.5" customHeight="1" x14ac:dyDescent="0.3"/>
    <row r="274" ht="22.5" customHeight="1" x14ac:dyDescent="0.3"/>
    <row r="275" ht="22.5" customHeight="1" x14ac:dyDescent="0.3"/>
    <row r="276" ht="22.5" customHeight="1" x14ac:dyDescent="0.3"/>
    <row r="277" ht="22.5" customHeight="1" x14ac:dyDescent="0.3"/>
    <row r="278" ht="22.5" customHeight="1" x14ac:dyDescent="0.3"/>
    <row r="279" ht="22.5" customHeight="1" x14ac:dyDescent="0.3"/>
    <row r="280" ht="22.5" customHeight="1" x14ac:dyDescent="0.3"/>
    <row r="281" ht="22.5" customHeight="1" x14ac:dyDescent="0.3"/>
    <row r="282" ht="22.5" customHeight="1" x14ac:dyDescent="0.3"/>
    <row r="283" ht="22.5" customHeight="1" x14ac:dyDescent="0.3"/>
    <row r="284" ht="22.5" customHeight="1" x14ac:dyDescent="0.3"/>
    <row r="285" ht="22.5" customHeight="1" x14ac:dyDescent="0.3"/>
    <row r="286" ht="22.5" customHeight="1" x14ac:dyDescent="0.3"/>
    <row r="287" ht="22.5" customHeight="1" x14ac:dyDescent="0.3"/>
    <row r="288" ht="22.5" customHeight="1" x14ac:dyDescent="0.3"/>
    <row r="289" ht="22.5" customHeight="1" x14ac:dyDescent="0.3"/>
    <row r="290" ht="22.5" customHeight="1" x14ac:dyDescent="0.3"/>
    <row r="291" ht="22.5" customHeight="1" x14ac:dyDescent="0.3"/>
    <row r="292" ht="22.5" customHeight="1" x14ac:dyDescent="0.3"/>
    <row r="293" ht="22.5" customHeight="1" x14ac:dyDescent="0.3"/>
    <row r="294" ht="22.5" customHeight="1" x14ac:dyDescent="0.3"/>
    <row r="295" ht="22.5" customHeight="1" x14ac:dyDescent="0.3"/>
    <row r="296" ht="22.5" customHeight="1" x14ac:dyDescent="0.3"/>
    <row r="297" ht="22.5" customHeight="1" x14ac:dyDescent="0.3"/>
    <row r="298" ht="22.5" customHeight="1" x14ac:dyDescent="0.3"/>
    <row r="299" ht="22.5" customHeight="1" x14ac:dyDescent="0.3"/>
    <row r="300" ht="22.5" customHeight="1" x14ac:dyDescent="0.3"/>
    <row r="301" ht="22.5" customHeight="1" x14ac:dyDescent="0.3"/>
    <row r="302" ht="22.5" customHeight="1" x14ac:dyDescent="0.3"/>
    <row r="303" ht="22.5" customHeight="1" x14ac:dyDescent="0.3"/>
    <row r="304" ht="22.5" customHeight="1" x14ac:dyDescent="0.3"/>
    <row r="305" ht="22.5" customHeight="1" x14ac:dyDescent="0.3"/>
    <row r="306" ht="22.5" customHeight="1" x14ac:dyDescent="0.3"/>
    <row r="307" ht="22.5" customHeight="1" x14ac:dyDescent="0.3"/>
    <row r="308" ht="22.5" customHeight="1" x14ac:dyDescent="0.3"/>
    <row r="309" ht="22.5" customHeight="1" x14ac:dyDescent="0.3"/>
    <row r="310" ht="22.5" customHeight="1" x14ac:dyDescent="0.3"/>
    <row r="311" ht="22.5" customHeight="1" x14ac:dyDescent="0.3"/>
    <row r="312" ht="22.5" customHeight="1" x14ac:dyDescent="0.3"/>
    <row r="313" ht="22.5" customHeight="1" x14ac:dyDescent="0.3"/>
    <row r="314" ht="22.5" customHeight="1" x14ac:dyDescent="0.3"/>
    <row r="315" ht="22.5" customHeight="1" x14ac:dyDescent="0.3"/>
    <row r="316" ht="22.5" customHeight="1" x14ac:dyDescent="0.3"/>
    <row r="317" ht="22.5" customHeight="1" x14ac:dyDescent="0.3"/>
    <row r="318" ht="22.5" customHeight="1" x14ac:dyDescent="0.3"/>
    <row r="319" ht="22.5" customHeight="1" x14ac:dyDescent="0.3"/>
    <row r="320" ht="22.5" customHeight="1" x14ac:dyDescent="0.3"/>
    <row r="321" ht="22.5" customHeight="1" x14ac:dyDescent="0.3"/>
    <row r="322" ht="22.5" customHeight="1" x14ac:dyDescent="0.3"/>
    <row r="323" ht="22.5" customHeight="1" x14ac:dyDescent="0.3"/>
    <row r="324" ht="22.5" customHeight="1" x14ac:dyDescent="0.3"/>
    <row r="325" ht="22.5" customHeight="1" x14ac:dyDescent="0.3"/>
    <row r="326" ht="22.5" customHeight="1" x14ac:dyDescent="0.3"/>
    <row r="327" ht="22.5" customHeight="1" x14ac:dyDescent="0.3"/>
    <row r="328" ht="22.5" customHeight="1" x14ac:dyDescent="0.3"/>
    <row r="329" ht="22.5" customHeight="1" x14ac:dyDescent="0.3"/>
    <row r="330" ht="22.5" customHeight="1" x14ac:dyDescent="0.3"/>
    <row r="331" ht="22.5" customHeight="1" x14ac:dyDescent="0.3"/>
    <row r="332" ht="22.5" customHeight="1" x14ac:dyDescent="0.3"/>
    <row r="333" ht="22.5" customHeight="1" x14ac:dyDescent="0.3"/>
    <row r="334" ht="22.5" customHeight="1" x14ac:dyDescent="0.3"/>
    <row r="335" ht="22.5" customHeight="1" x14ac:dyDescent="0.3"/>
    <row r="336" ht="22.5" customHeight="1" x14ac:dyDescent="0.3"/>
    <row r="337" ht="22.5" customHeight="1" x14ac:dyDescent="0.3"/>
    <row r="338" ht="22.5" customHeight="1" x14ac:dyDescent="0.3"/>
    <row r="339" ht="22.5" customHeight="1" x14ac:dyDescent="0.3"/>
    <row r="340" ht="22.5" customHeight="1" x14ac:dyDescent="0.3"/>
    <row r="341" ht="22.5" customHeight="1" x14ac:dyDescent="0.3"/>
    <row r="342" ht="22.5" customHeight="1" x14ac:dyDescent="0.3"/>
    <row r="343" ht="22.5" customHeight="1" x14ac:dyDescent="0.3"/>
    <row r="344" ht="22.5" customHeight="1" x14ac:dyDescent="0.3"/>
    <row r="345" ht="22.5" customHeight="1" x14ac:dyDescent="0.3"/>
    <row r="346" ht="22.5" customHeight="1" x14ac:dyDescent="0.3"/>
    <row r="347" ht="22.5" customHeight="1" x14ac:dyDescent="0.3"/>
    <row r="348" ht="22.5" customHeight="1" x14ac:dyDescent="0.3"/>
    <row r="349" ht="22.5" customHeight="1" x14ac:dyDescent="0.3"/>
    <row r="350" ht="22.5" customHeight="1" x14ac:dyDescent="0.3"/>
    <row r="351" ht="22.5" customHeight="1" x14ac:dyDescent="0.3"/>
    <row r="352" ht="22.5" customHeight="1" x14ac:dyDescent="0.3"/>
  </sheetData>
  <sheetProtection password="D72A" sheet="1" objects="1" scenarios="1" formatCells="0" formatColumns="0" formatRows="0"/>
  <mergeCells count="405">
    <mergeCell ref="N110:N117"/>
    <mergeCell ref="N118:N125"/>
    <mergeCell ref="M110:M117"/>
    <mergeCell ref="M188:M195"/>
    <mergeCell ref="N212:N219"/>
    <mergeCell ref="N220:N227"/>
    <mergeCell ref="N228:N235"/>
    <mergeCell ref="N83:N90"/>
    <mergeCell ref="N91:N98"/>
    <mergeCell ref="N99:N101"/>
    <mergeCell ref="N102:N109"/>
    <mergeCell ref="M228:M235"/>
    <mergeCell ref="M99:M101"/>
    <mergeCell ref="M102:M109"/>
    <mergeCell ref="M32:M39"/>
    <mergeCell ref="M204:M211"/>
    <mergeCell ref="M212:M219"/>
    <mergeCell ref="M118:M125"/>
    <mergeCell ref="M126:M128"/>
    <mergeCell ref="M129:M136"/>
    <mergeCell ref="M137:M144"/>
    <mergeCell ref="M145:M152"/>
    <mergeCell ref="M196:M203"/>
    <mergeCell ref="M64:M71"/>
    <mergeCell ref="M72:M74"/>
    <mergeCell ref="M91:M98"/>
    <mergeCell ref="M56:M63"/>
    <mergeCell ref="M169:M176"/>
    <mergeCell ref="M153:M160"/>
    <mergeCell ref="M75:M82"/>
    <mergeCell ref="M83:M90"/>
    <mergeCell ref="K212:K219"/>
    <mergeCell ref="K220:K227"/>
    <mergeCell ref="J220:J227"/>
    <mergeCell ref="J196:J203"/>
    <mergeCell ref="J204:J211"/>
    <mergeCell ref="N126:N128"/>
    <mergeCell ref="N129:N136"/>
    <mergeCell ref="N137:N144"/>
    <mergeCell ref="K204:K211"/>
    <mergeCell ref="M220:M227"/>
    <mergeCell ref="N145:N152"/>
    <mergeCell ref="N153:N160"/>
    <mergeCell ref="N161:N168"/>
    <mergeCell ref="N169:N176"/>
    <mergeCell ref="N177:N184"/>
    <mergeCell ref="N185:N187"/>
    <mergeCell ref="N188:N195"/>
    <mergeCell ref="N196:N203"/>
    <mergeCell ref="N204:N211"/>
    <mergeCell ref="L212:L219"/>
    <mergeCell ref="L169:L176"/>
    <mergeCell ref="M161:M168"/>
    <mergeCell ref="M177:M184"/>
    <mergeCell ref="M185:M187"/>
    <mergeCell ref="N21:N23"/>
    <mergeCell ref="N24:N31"/>
    <mergeCell ref="O32:O39"/>
    <mergeCell ref="N40:N47"/>
    <mergeCell ref="N48:N55"/>
    <mergeCell ref="N56:N63"/>
    <mergeCell ref="N64:N71"/>
    <mergeCell ref="N72:N74"/>
    <mergeCell ref="N75:N82"/>
    <mergeCell ref="O21:O23"/>
    <mergeCell ref="O24:O31"/>
    <mergeCell ref="O40:O47"/>
    <mergeCell ref="O48:O55"/>
    <mergeCell ref="O64:O71"/>
    <mergeCell ref="O72:O74"/>
    <mergeCell ref="O75:O82"/>
    <mergeCell ref="N32:N39"/>
    <mergeCell ref="O83:O90"/>
    <mergeCell ref="O91:O98"/>
    <mergeCell ref="O56:O63"/>
    <mergeCell ref="M21:M23"/>
    <mergeCell ref="M24:M31"/>
    <mergeCell ref="M40:M47"/>
    <mergeCell ref="M48:M55"/>
    <mergeCell ref="C56:C63"/>
    <mergeCell ref="D56:D63"/>
    <mergeCell ref="E56:E63"/>
    <mergeCell ref="F56:F63"/>
    <mergeCell ref="J56:J63"/>
    <mergeCell ref="K56:K63"/>
    <mergeCell ref="E72:E74"/>
    <mergeCell ref="C64:C71"/>
    <mergeCell ref="D64:D71"/>
    <mergeCell ref="E64:E71"/>
    <mergeCell ref="H64:H71"/>
    <mergeCell ref="H56:H63"/>
    <mergeCell ref="I56:I63"/>
    <mergeCell ref="C83:C90"/>
    <mergeCell ref="D83:D90"/>
    <mergeCell ref="E83:E90"/>
    <mergeCell ref="F83:F90"/>
    <mergeCell ref="E145:E152"/>
    <mergeCell ref="H129:H130"/>
    <mergeCell ref="K169:K176"/>
    <mergeCell ref="C102:C109"/>
    <mergeCell ref="D102:D109"/>
    <mergeCell ref="E102:E109"/>
    <mergeCell ref="F102:F109"/>
    <mergeCell ref="J102:J109"/>
    <mergeCell ref="C126:C128"/>
    <mergeCell ref="D126:D128"/>
    <mergeCell ref="F126:F128"/>
    <mergeCell ref="J126:J128"/>
    <mergeCell ref="G127:G128"/>
    <mergeCell ref="H127:H128"/>
    <mergeCell ref="E126:E128"/>
    <mergeCell ref="D110:D117"/>
    <mergeCell ref="I102:I109"/>
    <mergeCell ref="I110:I117"/>
    <mergeCell ref="G126:I126"/>
    <mergeCell ref="H161:H168"/>
    <mergeCell ref="I161:I168"/>
    <mergeCell ref="C153:C160"/>
    <mergeCell ref="D153:D160"/>
    <mergeCell ref="E153:E160"/>
    <mergeCell ref="O220:O227"/>
    <mergeCell ref="O228:O235"/>
    <mergeCell ref="O99:O101"/>
    <mergeCell ref="O102:O109"/>
    <mergeCell ref="O110:O117"/>
    <mergeCell ref="O118:O125"/>
    <mergeCell ref="O126:O128"/>
    <mergeCell ref="O129:O136"/>
    <mergeCell ref="O137:O144"/>
    <mergeCell ref="O145:O152"/>
    <mergeCell ref="O153:O160"/>
    <mergeCell ref="O161:O168"/>
    <mergeCell ref="O177:O184"/>
    <mergeCell ref="O185:O187"/>
    <mergeCell ref="O188:O195"/>
    <mergeCell ref="O196:O203"/>
    <mergeCell ref="O204:O211"/>
    <mergeCell ref="O212:O219"/>
    <mergeCell ref="O169:O176"/>
    <mergeCell ref="L220:L227"/>
    <mergeCell ref="L228:L235"/>
    <mergeCell ref="L99:L101"/>
    <mergeCell ref="L102:L109"/>
    <mergeCell ref="L110:L117"/>
    <mergeCell ref="L118:L125"/>
    <mergeCell ref="L126:L128"/>
    <mergeCell ref="L129:L136"/>
    <mergeCell ref="L137:L144"/>
    <mergeCell ref="L145:L152"/>
    <mergeCell ref="L153:L160"/>
    <mergeCell ref="L161:L168"/>
    <mergeCell ref="L177:L184"/>
    <mergeCell ref="L185:L187"/>
    <mergeCell ref="L188:L195"/>
    <mergeCell ref="L196:L203"/>
    <mergeCell ref="L204:L211"/>
    <mergeCell ref="L21:L23"/>
    <mergeCell ref="L24:L31"/>
    <mergeCell ref="L40:L47"/>
    <mergeCell ref="L48:L55"/>
    <mergeCell ref="L64:L71"/>
    <mergeCell ref="L72:L74"/>
    <mergeCell ref="L75:L82"/>
    <mergeCell ref="L83:L90"/>
    <mergeCell ref="L91:L98"/>
    <mergeCell ref="L56:L63"/>
    <mergeCell ref="L32:L39"/>
    <mergeCell ref="B161:B168"/>
    <mergeCell ref="B177:B184"/>
    <mergeCell ref="B185:B187"/>
    <mergeCell ref="B188:B195"/>
    <mergeCell ref="B196:B203"/>
    <mergeCell ref="B204:B211"/>
    <mergeCell ref="B212:B219"/>
    <mergeCell ref="B220:B227"/>
    <mergeCell ref="B228:B235"/>
    <mergeCell ref="B169:B176"/>
    <mergeCell ref="B99:B101"/>
    <mergeCell ref="B102:B109"/>
    <mergeCell ref="B110:B117"/>
    <mergeCell ref="B118:B125"/>
    <mergeCell ref="B126:B128"/>
    <mergeCell ref="B129:B136"/>
    <mergeCell ref="B137:B144"/>
    <mergeCell ref="B145:B152"/>
    <mergeCell ref="B153:B160"/>
    <mergeCell ref="B24:B31"/>
    <mergeCell ref="B21:B23"/>
    <mergeCell ref="B40:B47"/>
    <mergeCell ref="B48:B55"/>
    <mergeCell ref="B64:B71"/>
    <mergeCell ref="B72:B74"/>
    <mergeCell ref="B75:B82"/>
    <mergeCell ref="B83:B90"/>
    <mergeCell ref="B91:B98"/>
    <mergeCell ref="B32:B39"/>
    <mergeCell ref="B56:B63"/>
    <mergeCell ref="K228:K235"/>
    <mergeCell ref="K196:K203"/>
    <mergeCell ref="K21:K23"/>
    <mergeCell ref="K24:K31"/>
    <mergeCell ref="K40:K47"/>
    <mergeCell ref="K48:K55"/>
    <mergeCell ref="K64:K71"/>
    <mergeCell ref="K72:K74"/>
    <mergeCell ref="K99:K101"/>
    <mergeCell ref="K126:K128"/>
    <mergeCell ref="K185:K187"/>
    <mergeCell ref="K75:K82"/>
    <mergeCell ref="K83:K90"/>
    <mergeCell ref="K91:K98"/>
    <mergeCell ref="K102:K109"/>
    <mergeCell ref="K110:K117"/>
    <mergeCell ref="K118:K125"/>
    <mergeCell ref="K129:K136"/>
    <mergeCell ref="K137:K144"/>
    <mergeCell ref="K145:K152"/>
    <mergeCell ref="K153:K160"/>
    <mergeCell ref="K161:K168"/>
    <mergeCell ref="K177:K184"/>
    <mergeCell ref="K188:K195"/>
    <mergeCell ref="E13:E14"/>
    <mergeCell ref="F13:J14"/>
    <mergeCell ref="F15:J15"/>
    <mergeCell ref="J129:J136"/>
    <mergeCell ref="J75:J82"/>
    <mergeCell ref="F64:F71"/>
    <mergeCell ref="J64:J71"/>
    <mergeCell ref="G22:G23"/>
    <mergeCell ref="H22:H23"/>
    <mergeCell ref="G21:I21"/>
    <mergeCell ref="I22:I23"/>
    <mergeCell ref="I24:I31"/>
    <mergeCell ref="I40:I47"/>
    <mergeCell ref="I48:I55"/>
    <mergeCell ref="I64:I71"/>
    <mergeCell ref="G72:I72"/>
    <mergeCell ref="I73:I74"/>
    <mergeCell ref="I75:I82"/>
    <mergeCell ref="I83:I90"/>
    <mergeCell ref="I91:I98"/>
    <mergeCell ref="G99:I99"/>
    <mergeCell ref="I127:I128"/>
    <mergeCell ref="J72:J74"/>
    <mergeCell ref="H73:H74"/>
    <mergeCell ref="F153:F160"/>
    <mergeCell ref="J153:J160"/>
    <mergeCell ref="C177:C184"/>
    <mergeCell ref="D177:D184"/>
    <mergeCell ref="E177:E184"/>
    <mergeCell ref="F177:F184"/>
    <mergeCell ref="J177:J184"/>
    <mergeCell ref="H177:H184"/>
    <mergeCell ref="I177:I184"/>
    <mergeCell ref="D169:D176"/>
    <mergeCell ref="E161:E168"/>
    <mergeCell ref="E169:E176"/>
    <mergeCell ref="H169:H176"/>
    <mergeCell ref="C169:C176"/>
    <mergeCell ref="F169:F176"/>
    <mergeCell ref="I169:I176"/>
    <mergeCell ref="J169:J176"/>
    <mergeCell ref="C196:C203"/>
    <mergeCell ref="E185:E187"/>
    <mergeCell ref="C161:C168"/>
    <mergeCell ref="D161:D168"/>
    <mergeCell ref="D196:D203"/>
    <mergeCell ref="D204:D211"/>
    <mergeCell ref="D220:D227"/>
    <mergeCell ref="F161:F168"/>
    <mergeCell ref="F196:F203"/>
    <mergeCell ref="E196:E203"/>
    <mergeCell ref="E204:E211"/>
    <mergeCell ref="E220:E227"/>
    <mergeCell ref="F220:F227"/>
    <mergeCell ref="C228:C235"/>
    <mergeCell ref="D228:D235"/>
    <mergeCell ref="E228:E235"/>
    <mergeCell ref="F228:F235"/>
    <mergeCell ref="J228:J235"/>
    <mergeCell ref="H186:H187"/>
    <mergeCell ref="C185:C187"/>
    <mergeCell ref="D185:D187"/>
    <mergeCell ref="F185:F187"/>
    <mergeCell ref="J185:J187"/>
    <mergeCell ref="G186:G187"/>
    <mergeCell ref="J188:J195"/>
    <mergeCell ref="C212:C219"/>
    <mergeCell ref="D212:D219"/>
    <mergeCell ref="E212:E219"/>
    <mergeCell ref="F212:F219"/>
    <mergeCell ref="J212:J219"/>
    <mergeCell ref="C188:C195"/>
    <mergeCell ref="D188:D195"/>
    <mergeCell ref="E188:E195"/>
    <mergeCell ref="F188:F195"/>
    <mergeCell ref="C204:C211"/>
    <mergeCell ref="C220:C227"/>
    <mergeCell ref="F204:F211"/>
    <mergeCell ref="C137:C144"/>
    <mergeCell ref="D145:D152"/>
    <mergeCell ref="F145:F152"/>
    <mergeCell ref="C21:C23"/>
    <mergeCell ref="D21:D23"/>
    <mergeCell ref="F21:F23"/>
    <mergeCell ref="H118:H125"/>
    <mergeCell ref="I118:I125"/>
    <mergeCell ref="H137:H144"/>
    <mergeCell ref="I137:I144"/>
    <mergeCell ref="H145:H152"/>
    <mergeCell ref="I145:I152"/>
    <mergeCell ref="C75:C82"/>
    <mergeCell ref="D75:D82"/>
    <mergeCell ref="E75:E82"/>
    <mergeCell ref="F75:F82"/>
    <mergeCell ref="H75:H82"/>
    <mergeCell ref="H83:H90"/>
    <mergeCell ref="C99:C101"/>
    <mergeCell ref="C72:C74"/>
    <mergeCell ref="D72:D74"/>
    <mergeCell ref="F72:F74"/>
    <mergeCell ref="G73:G74"/>
    <mergeCell ref="D91:D98"/>
    <mergeCell ref="H110:H117"/>
    <mergeCell ref="J24:J31"/>
    <mergeCell ref="C40:C47"/>
    <mergeCell ref="D40:D47"/>
    <mergeCell ref="E40:E47"/>
    <mergeCell ref="F40:F47"/>
    <mergeCell ref="E99:E101"/>
    <mergeCell ref="I100:I101"/>
    <mergeCell ref="H91:H98"/>
    <mergeCell ref="J83:J90"/>
    <mergeCell ref="C91:C98"/>
    <mergeCell ref="E91:E98"/>
    <mergeCell ref="F91:F98"/>
    <mergeCell ref="J91:J98"/>
    <mergeCell ref="J99:J101"/>
    <mergeCell ref="G100:G101"/>
    <mergeCell ref="H100:H101"/>
    <mergeCell ref="D99:D101"/>
    <mergeCell ref="F99:F101"/>
    <mergeCell ref="E110:E117"/>
    <mergeCell ref="C18:K18"/>
    <mergeCell ref="C19:K19"/>
    <mergeCell ref="C48:C55"/>
    <mergeCell ref="D48:D55"/>
    <mergeCell ref="E48:E55"/>
    <mergeCell ref="F48:F55"/>
    <mergeCell ref="J48:J55"/>
    <mergeCell ref="C32:C39"/>
    <mergeCell ref="E32:E39"/>
    <mergeCell ref="F32:F39"/>
    <mergeCell ref="H48:H55"/>
    <mergeCell ref="D24:D31"/>
    <mergeCell ref="E24:E31"/>
    <mergeCell ref="F24:F31"/>
    <mergeCell ref="I32:I39"/>
    <mergeCell ref="H32:H39"/>
    <mergeCell ref="H40:H47"/>
    <mergeCell ref="J40:J47"/>
    <mergeCell ref="C24:C31"/>
    <mergeCell ref="J21:J23"/>
    <mergeCell ref="E21:E23"/>
    <mergeCell ref="A24:A31"/>
    <mergeCell ref="D32:D39"/>
    <mergeCell ref="J32:J39"/>
    <mergeCell ref="K32:K39"/>
    <mergeCell ref="C145:C152"/>
    <mergeCell ref="J161:J168"/>
    <mergeCell ref="J145:J152"/>
    <mergeCell ref="J118:J125"/>
    <mergeCell ref="F118:F125"/>
    <mergeCell ref="E118:E125"/>
    <mergeCell ref="D118:D125"/>
    <mergeCell ref="C118:C125"/>
    <mergeCell ref="C110:C117"/>
    <mergeCell ref="J110:J117"/>
    <mergeCell ref="F110:F117"/>
    <mergeCell ref="D137:D144"/>
    <mergeCell ref="E137:E144"/>
    <mergeCell ref="F137:F144"/>
    <mergeCell ref="J137:J144"/>
    <mergeCell ref="C129:C136"/>
    <mergeCell ref="D129:D136"/>
    <mergeCell ref="E129:E136"/>
    <mergeCell ref="F129:F136"/>
    <mergeCell ref="H102:H109"/>
    <mergeCell ref="I129:I130"/>
    <mergeCell ref="I228:I235"/>
    <mergeCell ref="H153:H160"/>
    <mergeCell ref="I153:I160"/>
    <mergeCell ref="H188:H194"/>
    <mergeCell ref="I188:I194"/>
    <mergeCell ref="H196:H200"/>
    <mergeCell ref="I196:I200"/>
    <mergeCell ref="H204:H211"/>
    <mergeCell ref="I204:I211"/>
    <mergeCell ref="H212:H219"/>
    <mergeCell ref="I212:I219"/>
    <mergeCell ref="H220:H227"/>
    <mergeCell ref="I220:I227"/>
    <mergeCell ref="H228:H235"/>
    <mergeCell ref="G185:I185"/>
    <mergeCell ref="I186:I187"/>
  </mergeCells>
  <dataValidations count="1">
    <dataValidation type="list" allowBlank="1" showInputMessage="1" showErrorMessage="1" sqref="F177:F184 J75:J98 J102:J125 F75:F98 J177 F102:F125 J228 F40:F71 F228:F235 F129:F145 J169 F188:F196 F204 F212:F220 J129 J137 J145 J153 J161 J188 J196 J204 J212 J220 F24:F32 J24:J32 F169 J40:J56 J64:J71 F153 F161">
      <formula1>"1,2,3"</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83A343"/>
  </sheetPr>
  <dimension ref="B5:P160"/>
  <sheetViews>
    <sheetView showGridLines="0" topLeftCell="A67" zoomScale="90" zoomScaleNormal="90" workbookViewId="0">
      <selection activeCell="E153" sqref="E153:E160"/>
    </sheetView>
  </sheetViews>
  <sheetFormatPr baseColWidth="10" defaultColWidth="3.140625" defaultRowHeight="22.5" customHeight="1" x14ac:dyDescent="0.3"/>
  <cols>
    <col min="1" max="1" width="2.5703125" style="15" customWidth="1"/>
    <col min="2" max="2" width="3.42578125" style="15" hidden="1" customWidth="1"/>
    <col min="3" max="4" width="42.5703125" style="15" customWidth="1"/>
    <col min="5" max="5" width="38" style="15" customWidth="1"/>
    <col min="6" max="6" width="7.42578125" style="15" customWidth="1"/>
    <col min="7" max="7" width="3.5703125" style="15" bestFit="1" customWidth="1"/>
    <col min="8" max="8" width="37" style="15" customWidth="1"/>
    <col min="9" max="9" width="38" style="15" customWidth="1"/>
    <col min="10" max="10" width="7.42578125" style="15" customWidth="1"/>
    <col min="11" max="11" width="16.140625" style="15" customWidth="1"/>
    <col min="12" max="12" width="4.7109375" style="98" customWidth="1"/>
    <col min="13" max="13" width="7.5703125" style="98" customWidth="1"/>
    <col min="14" max="14" width="6.28515625" style="99" customWidth="1"/>
    <col min="15" max="15" width="6.28515625" style="132" customWidth="1"/>
    <col min="16" max="16" width="3.140625" style="133" customWidth="1"/>
    <col min="17" max="16364" width="3.140625" style="15" customWidth="1"/>
    <col min="16365" max="16384" width="3.140625" style="15"/>
  </cols>
  <sheetData>
    <row r="5" spans="2:16" ht="9.9499999999999993" customHeight="1" x14ac:dyDescent="0.3"/>
    <row r="6" spans="2:16" ht="31.5" customHeight="1" x14ac:dyDescent="0.3"/>
    <row r="7" spans="2:16" ht="30.75" customHeight="1" x14ac:dyDescent="0.3">
      <c r="E7" s="20"/>
      <c r="F7" s="20"/>
    </row>
    <row r="8" spans="2:16" ht="20.25" customHeight="1" x14ac:dyDescent="0.3"/>
    <row r="9" spans="2:16" ht="9.9499999999999993" customHeight="1" x14ac:dyDescent="0.3"/>
    <row r="10" spans="2:16" ht="19.7" customHeight="1" x14ac:dyDescent="0.3">
      <c r="C10" s="504" t="s">
        <v>171</v>
      </c>
      <c r="D10" s="504"/>
      <c r="E10" s="504"/>
      <c r="F10" s="504"/>
      <c r="G10" s="504"/>
      <c r="H10" s="504"/>
      <c r="I10" s="504"/>
      <c r="J10" s="504"/>
      <c r="K10" s="504"/>
    </row>
    <row r="11" spans="2:16" ht="71.25" customHeight="1" x14ac:dyDescent="0.3">
      <c r="C11" s="330" t="s">
        <v>172</v>
      </c>
      <c r="D11" s="330"/>
      <c r="E11" s="330"/>
      <c r="F11" s="330"/>
      <c r="G11" s="330"/>
      <c r="H11" s="330"/>
      <c r="I11" s="330"/>
      <c r="J11" s="330"/>
      <c r="K11" s="330"/>
    </row>
    <row r="12" spans="2:16" ht="9.9499999999999993" customHeight="1" x14ac:dyDescent="0.3">
      <c r="C12" s="16"/>
      <c r="D12" s="16"/>
      <c r="F12" s="17"/>
    </row>
    <row r="13" spans="2:16" ht="36.75" customHeight="1" x14ac:dyDescent="0.3">
      <c r="B13" s="517" t="s">
        <v>111</v>
      </c>
      <c r="C13" s="483" t="s">
        <v>173</v>
      </c>
      <c r="D13" s="489" t="s">
        <v>8</v>
      </c>
      <c r="E13" s="489" t="s">
        <v>174</v>
      </c>
      <c r="F13" s="501" t="s">
        <v>175</v>
      </c>
      <c r="G13" s="510" t="s">
        <v>115</v>
      </c>
      <c r="H13" s="511"/>
      <c r="I13" s="511"/>
      <c r="J13" s="501" t="s">
        <v>176</v>
      </c>
      <c r="K13" s="501" t="s">
        <v>135</v>
      </c>
      <c r="L13" s="465"/>
      <c r="M13" s="465"/>
      <c r="N13" s="515"/>
      <c r="O13" s="461"/>
      <c r="P13" s="459"/>
    </row>
    <row r="14" spans="2:16" ht="29.25" customHeight="1" x14ac:dyDescent="0.3">
      <c r="B14" s="484"/>
      <c r="C14" s="484"/>
      <c r="D14" s="490"/>
      <c r="E14" s="490"/>
      <c r="F14" s="501"/>
      <c r="G14" s="479" t="s">
        <v>13</v>
      </c>
      <c r="H14" s="489" t="s">
        <v>15</v>
      </c>
      <c r="I14" s="489" t="s">
        <v>17</v>
      </c>
      <c r="J14" s="501"/>
      <c r="K14" s="501"/>
      <c r="L14" s="465"/>
      <c r="M14" s="465"/>
      <c r="N14" s="515"/>
      <c r="O14" s="461"/>
      <c r="P14" s="459"/>
    </row>
    <row r="15" spans="2:16" ht="99.75" customHeight="1" thickBot="1" x14ac:dyDescent="0.35">
      <c r="B15" s="485"/>
      <c r="C15" s="485"/>
      <c r="D15" s="491"/>
      <c r="E15" s="491"/>
      <c r="F15" s="502"/>
      <c r="G15" s="480"/>
      <c r="H15" s="503"/>
      <c r="I15" s="503"/>
      <c r="J15" s="502"/>
      <c r="K15" s="502"/>
      <c r="L15" s="465"/>
      <c r="M15" s="465"/>
      <c r="N15" s="515"/>
      <c r="O15" s="461"/>
      <c r="P15" s="459"/>
    </row>
    <row r="16" spans="2:16" ht="32.25" customHeight="1" x14ac:dyDescent="0.3">
      <c r="B16" s="306" t="str">
        <f>+LEFT(C16,3)</f>
        <v>6.1</v>
      </c>
      <c r="C16" s="518" t="s">
        <v>177</v>
      </c>
      <c r="D16" s="521" t="s">
        <v>178</v>
      </c>
      <c r="E16" s="500" t="s">
        <v>554</v>
      </c>
      <c r="F16" s="322">
        <v>2</v>
      </c>
      <c r="G16" s="141">
        <v>1</v>
      </c>
      <c r="H16" s="290" t="s">
        <v>482</v>
      </c>
      <c r="I16" s="290" t="s">
        <v>599</v>
      </c>
      <c r="J16" s="319">
        <v>1</v>
      </c>
      <c r="K16" s="394" t="str">
        <f t="shared" ref="K16" si="0">+IF(OR(ISBLANK(F16),ISBLANK(J16)),"",IF(OR(AND(F16=1,J16=1),AND(F16=1,J16=2),AND(F16=1,J16=3)),"Deficiencia de control mayor (diseño y ejecución)",IF(OR(AND(F16=2,J16=2),AND(F16=3,J16=1),AND(F16=3,J16=2),AND(F16=2,J16=1)),"Deficiencia de control (diseño o ejecución)",IF(AND(F16=2,J16=3),"Oportunidad de mejora","Mantenimiento del control"))))</f>
        <v>Deficiencia de control (diseño o ejecución)</v>
      </c>
      <c r="L16" s="413">
        <f>+IF(K16="",75,IF(K16="Deficiencia de control mayor (diseño y ejecución)",80,IF(K16="Deficiencia de control (diseño o ejecución)",100,IF(K16="Oportunidad de mejora",120,140))))</f>
        <v>100</v>
      </c>
      <c r="M16" s="460">
        <v>1.7896000000000001</v>
      </c>
      <c r="N16" s="462">
        <f>+L16+M16</f>
        <v>101.78960000000001</v>
      </c>
      <c r="P16" s="458"/>
    </row>
    <row r="17" spans="2:16" ht="26.25" customHeight="1" x14ac:dyDescent="0.3">
      <c r="B17" s="307"/>
      <c r="C17" s="519"/>
      <c r="D17" s="522"/>
      <c r="E17" s="344"/>
      <c r="F17" s="323"/>
      <c r="G17" s="138">
        <v>2</v>
      </c>
      <c r="H17" s="291"/>
      <c r="I17" s="291"/>
      <c r="J17" s="320"/>
      <c r="K17" s="304"/>
      <c r="L17" s="413"/>
      <c r="M17" s="460"/>
      <c r="N17" s="462"/>
      <c r="P17" s="458"/>
    </row>
    <row r="18" spans="2:16" ht="26.25" customHeight="1" x14ac:dyDescent="0.3">
      <c r="B18" s="307"/>
      <c r="C18" s="519"/>
      <c r="D18" s="522"/>
      <c r="E18" s="344"/>
      <c r="F18" s="323"/>
      <c r="G18" s="138">
        <v>3</v>
      </c>
      <c r="H18" s="291"/>
      <c r="I18" s="291"/>
      <c r="J18" s="320"/>
      <c r="K18" s="304"/>
      <c r="L18" s="413"/>
      <c r="M18" s="460"/>
      <c r="N18" s="462"/>
      <c r="P18" s="458"/>
    </row>
    <row r="19" spans="2:16" ht="26.25" customHeight="1" x14ac:dyDescent="0.3">
      <c r="B19" s="307"/>
      <c r="C19" s="519"/>
      <c r="D19" s="522"/>
      <c r="E19" s="344"/>
      <c r="F19" s="323"/>
      <c r="G19" s="138">
        <v>4</v>
      </c>
      <c r="H19" s="291"/>
      <c r="I19" s="291"/>
      <c r="J19" s="320"/>
      <c r="K19" s="304"/>
      <c r="L19" s="413"/>
      <c r="M19" s="460"/>
      <c r="N19" s="462"/>
      <c r="P19" s="458"/>
    </row>
    <row r="20" spans="2:16" ht="8.25" customHeight="1" thickBot="1" x14ac:dyDescent="0.35">
      <c r="B20" s="307"/>
      <c r="C20" s="519"/>
      <c r="D20" s="522"/>
      <c r="E20" s="344"/>
      <c r="F20" s="323"/>
      <c r="G20" s="138">
        <v>5</v>
      </c>
      <c r="H20" s="291"/>
      <c r="I20" s="291"/>
      <c r="J20" s="320"/>
      <c r="K20" s="304"/>
      <c r="L20" s="413"/>
      <c r="M20" s="460"/>
      <c r="N20" s="462"/>
      <c r="P20" s="458"/>
    </row>
    <row r="21" spans="2:16" ht="26.25" hidden="1" customHeight="1" thickBot="1" x14ac:dyDescent="0.35">
      <c r="B21" s="307"/>
      <c r="C21" s="519"/>
      <c r="D21" s="522"/>
      <c r="E21" s="344"/>
      <c r="F21" s="323"/>
      <c r="G21" s="138">
        <v>6</v>
      </c>
      <c r="H21" s="291"/>
      <c r="I21" s="291"/>
      <c r="J21" s="320"/>
      <c r="K21" s="304"/>
      <c r="L21" s="413"/>
      <c r="M21" s="460"/>
      <c r="N21" s="462"/>
      <c r="P21" s="458"/>
    </row>
    <row r="22" spans="2:16" ht="26.25" hidden="1" customHeight="1" thickBot="1" x14ac:dyDescent="0.35">
      <c r="B22" s="307"/>
      <c r="C22" s="519"/>
      <c r="D22" s="522"/>
      <c r="E22" s="344"/>
      <c r="F22" s="323"/>
      <c r="G22" s="138">
        <v>7</v>
      </c>
      <c r="H22" s="291"/>
      <c r="I22" s="291"/>
      <c r="J22" s="320"/>
      <c r="K22" s="304"/>
      <c r="L22" s="413"/>
      <c r="M22" s="460"/>
      <c r="N22" s="462"/>
      <c r="P22" s="458"/>
    </row>
    <row r="23" spans="2:16" ht="26.25" hidden="1" customHeight="1" thickBot="1" x14ac:dyDescent="0.35">
      <c r="B23" s="308"/>
      <c r="C23" s="520"/>
      <c r="D23" s="523"/>
      <c r="E23" s="345"/>
      <c r="F23" s="324"/>
      <c r="G23" s="140">
        <v>8</v>
      </c>
      <c r="H23" s="292"/>
      <c r="I23" s="292"/>
      <c r="J23" s="321"/>
      <c r="K23" s="305"/>
      <c r="L23" s="413"/>
      <c r="M23" s="460"/>
      <c r="N23" s="462"/>
      <c r="P23" s="458"/>
    </row>
    <row r="24" spans="2:16" ht="22.5" customHeight="1" x14ac:dyDescent="0.3">
      <c r="B24" s="512" t="str">
        <f>+LEFT(C24,3)</f>
        <v>6.2</v>
      </c>
      <c r="C24" s="466" t="s">
        <v>179</v>
      </c>
      <c r="D24" s="313" t="s">
        <v>180</v>
      </c>
      <c r="E24" s="282" t="s">
        <v>510</v>
      </c>
      <c r="F24" s="322">
        <v>2</v>
      </c>
      <c r="G24" s="141">
        <v>1</v>
      </c>
      <c r="H24" s="290" t="s">
        <v>555</v>
      </c>
      <c r="I24" s="287" t="s">
        <v>556</v>
      </c>
      <c r="J24" s="322">
        <v>1</v>
      </c>
      <c r="K24" s="394" t="str">
        <f t="shared" ref="K24:K32" si="1">+IF(OR(ISBLANK(F24),ISBLANK(J24)),"",IF(OR(AND(F24=1,J24=1),AND(F24=1,J24=2),AND(F24=1,J24=3)),"Deficiencia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(diseño o ejecución)</v>
      </c>
      <c r="L24" s="413">
        <f t="shared" ref="L24" si="2">+IF(K24="",75,IF(K24="Deficiencia de control mayor (diseño y ejecución)",80,IF(K24="Deficiencia de control (diseño o ejecución)",100,IF(K24="Oportunidad de mejora",120,140))))</f>
        <v>100</v>
      </c>
      <c r="M24" s="460">
        <v>1.8895999999999999</v>
      </c>
      <c r="N24" s="462">
        <f t="shared" ref="N24" si="3">+L24+M24</f>
        <v>101.8896</v>
      </c>
      <c r="O24" s="463"/>
      <c r="P24" s="458"/>
    </row>
    <row r="25" spans="2:16" ht="22.5" customHeight="1" x14ac:dyDescent="0.3">
      <c r="B25" s="513"/>
      <c r="C25" s="467"/>
      <c r="D25" s="314"/>
      <c r="E25" s="481"/>
      <c r="F25" s="323"/>
      <c r="G25" s="138">
        <v>2</v>
      </c>
      <c r="H25" s="291"/>
      <c r="I25" s="288"/>
      <c r="J25" s="323"/>
      <c r="K25" s="304"/>
      <c r="L25" s="413"/>
      <c r="M25" s="460"/>
      <c r="N25" s="462"/>
      <c r="O25" s="463"/>
      <c r="P25" s="458"/>
    </row>
    <row r="26" spans="2:16" ht="22.5" customHeight="1" x14ac:dyDescent="0.3">
      <c r="B26" s="513"/>
      <c r="C26" s="467"/>
      <c r="D26" s="314"/>
      <c r="E26" s="481"/>
      <c r="F26" s="323"/>
      <c r="G26" s="138">
        <v>3</v>
      </c>
      <c r="H26" s="291"/>
      <c r="I26" s="288"/>
      <c r="J26" s="323"/>
      <c r="K26" s="304"/>
      <c r="L26" s="413"/>
      <c r="M26" s="460"/>
      <c r="N26" s="462"/>
      <c r="O26" s="463"/>
      <c r="P26" s="458"/>
    </row>
    <row r="27" spans="2:16" ht="13.5" customHeight="1" thickBot="1" x14ac:dyDescent="0.35">
      <c r="B27" s="513"/>
      <c r="C27" s="467"/>
      <c r="D27" s="314"/>
      <c r="E27" s="481"/>
      <c r="F27" s="323"/>
      <c r="G27" s="138">
        <v>4</v>
      </c>
      <c r="H27" s="291"/>
      <c r="I27" s="288"/>
      <c r="J27" s="323"/>
      <c r="K27" s="304"/>
      <c r="L27" s="413"/>
      <c r="M27" s="460"/>
      <c r="N27" s="462"/>
      <c r="O27" s="463"/>
      <c r="P27" s="458"/>
    </row>
    <row r="28" spans="2:16" ht="22.5" hidden="1" customHeight="1" thickBot="1" x14ac:dyDescent="0.35">
      <c r="B28" s="513"/>
      <c r="C28" s="467"/>
      <c r="D28" s="314"/>
      <c r="E28" s="481"/>
      <c r="F28" s="323"/>
      <c r="G28" s="138">
        <v>5</v>
      </c>
      <c r="H28" s="291"/>
      <c r="I28" s="288"/>
      <c r="J28" s="323"/>
      <c r="K28" s="304"/>
      <c r="L28" s="413"/>
      <c r="M28" s="460"/>
      <c r="N28" s="462"/>
      <c r="O28" s="463"/>
      <c r="P28" s="458"/>
    </row>
    <row r="29" spans="2:16" ht="22.5" hidden="1" customHeight="1" thickBot="1" x14ac:dyDescent="0.35">
      <c r="B29" s="513"/>
      <c r="C29" s="467"/>
      <c r="D29" s="314"/>
      <c r="E29" s="481"/>
      <c r="F29" s="323"/>
      <c r="G29" s="138">
        <v>6</v>
      </c>
      <c r="H29" s="291"/>
      <c r="I29" s="288"/>
      <c r="J29" s="323"/>
      <c r="K29" s="304"/>
      <c r="L29" s="413"/>
      <c r="M29" s="460"/>
      <c r="N29" s="462"/>
      <c r="O29" s="463"/>
      <c r="P29" s="458"/>
    </row>
    <row r="30" spans="2:16" ht="22.5" hidden="1" customHeight="1" thickBot="1" x14ac:dyDescent="0.35">
      <c r="B30" s="513"/>
      <c r="C30" s="467"/>
      <c r="D30" s="314"/>
      <c r="E30" s="481"/>
      <c r="F30" s="323"/>
      <c r="G30" s="138">
        <v>7</v>
      </c>
      <c r="H30" s="291"/>
      <c r="I30" s="288"/>
      <c r="J30" s="323"/>
      <c r="K30" s="304"/>
      <c r="L30" s="413"/>
      <c r="M30" s="460"/>
      <c r="N30" s="462"/>
      <c r="O30" s="463"/>
      <c r="P30" s="458"/>
    </row>
    <row r="31" spans="2:16" ht="22.5" hidden="1" customHeight="1" thickBot="1" x14ac:dyDescent="0.35">
      <c r="B31" s="514"/>
      <c r="C31" s="468"/>
      <c r="D31" s="315"/>
      <c r="E31" s="482"/>
      <c r="F31" s="324"/>
      <c r="G31" s="140">
        <v>8</v>
      </c>
      <c r="H31" s="292"/>
      <c r="I31" s="289"/>
      <c r="J31" s="324"/>
      <c r="K31" s="305"/>
      <c r="L31" s="413"/>
      <c r="M31" s="460"/>
      <c r="N31" s="462"/>
      <c r="O31" s="463"/>
      <c r="P31" s="458"/>
    </row>
    <row r="32" spans="2:16" ht="22.5" customHeight="1" x14ac:dyDescent="0.3">
      <c r="B32" s="466" t="str">
        <f>+LEFT(C32,3)</f>
        <v>6.3</v>
      </c>
      <c r="C32" s="466" t="s">
        <v>181</v>
      </c>
      <c r="D32" s="313" t="s">
        <v>182</v>
      </c>
      <c r="E32" s="282" t="s">
        <v>557</v>
      </c>
      <c r="F32" s="322">
        <v>3</v>
      </c>
      <c r="G32" s="141">
        <v>1</v>
      </c>
      <c r="H32" s="442" t="s">
        <v>558</v>
      </c>
      <c r="I32" s="442" t="s">
        <v>511</v>
      </c>
      <c r="J32" s="322">
        <v>2</v>
      </c>
      <c r="K32" s="394" t="str">
        <f t="shared" si="1"/>
        <v>Deficiencia de control (diseño o ejecución)</v>
      </c>
      <c r="L32" s="413">
        <f t="shared" ref="L32" si="4">+IF(K32="",75,IF(K32="Deficiencia de control mayor (diseño y ejecución)",80,IF(K32="Deficiencia de control (diseño o ejecución)",100,IF(K32="Oportunidad de mejora",120,140))))</f>
        <v>100</v>
      </c>
      <c r="M32" s="460">
        <v>1.9754</v>
      </c>
      <c r="N32" s="462">
        <f t="shared" ref="N32" si="5">+L32+M32</f>
        <v>101.97539999999999</v>
      </c>
      <c r="O32" s="463"/>
      <c r="P32" s="458"/>
    </row>
    <row r="33" spans="2:16" ht="22.5" customHeight="1" x14ac:dyDescent="0.3">
      <c r="B33" s="467"/>
      <c r="C33" s="467"/>
      <c r="D33" s="314"/>
      <c r="E33" s="481"/>
      <c r="F33" s="323"/>
      <c r="G33" s="138">
        <v>2</v>
      </c>
      <c r="H33" s="291"/>
      <c r="I33" s="291"/>
      <c r="J33" s="323"/>
      <c r="K33" s="304"/>
      <c r="L33" s="413"/>
      <c r="M33" s="460"/>
      <c r="N33" s="462"/>
      <c r="O33" s="463"/>
      <c r="P33" s="458"/>
    </row>
    <row r="34" spans="2:16" ht="22.5" customHeight="1" x14ac:dyDescent="0.3">
      <c r="B34" s="467"/>
      <c r="C34" s="467"/>
      <c r="D34" s="314"/>
      <c r="E34" s="481"/>
      <c r="F34" s="323"/>
      <c r="G34" s="138">
        <v>3</v>
      </c>
      <c r="H34" s="291"/>
      <c r="I34" s="291"/>
      <c r="J34" s="323"/>
      <c r="K34" s="304"/>
      <c r="L34" s="413"/>
      <c r="M34" s="460"/>
      <c r="N34" s="462"/>
      <c r="O34" s="463"/>
      <c r="P34" s="458"/>
    </row>
    <row r="35" spans="2:16" ht="22.5" customHeight="1" x14ac:dyDescent="0.3">
      <c r="B35" s="467"/>
      <c r="C35" s="467"/>
      <c r="D35" s="314"/>
      <c r="E35" s="481"/>
      <c r="F35" s="323"/>
      <c r="G35" s="138">
        <v>4</v>
      </c>
      <c r="H35" s="291"/>
      <c r="I35" s="291"/>
      <c r="J35" s="323"/>
      <c r="K35" s="304"/>
      <c r="L35" s="413"/>
      <c r="M35" s="460"/>
      <c r="N35" s="462"/>
      <c r="O35" s="463"/>
      <c r="P35" s="458"/>
    </row>
    <row r="36" spans="2:16" ht="22.5" customHeight="1" x14ac:dyDescent="0.3">
      <c r="B36" s="467"/>
      <c r="C36" s="467"/>
      <c r="D36" s="314"/>
      <c r="E36" s="481"/>
      <c r="F36" s="323"/>
      <c r="G36" s="138">
        <v>5</v>
      </c>
      <c r="H36" s="291"/>
      <c r="I36" s="291"/>
      <c r="J36" s="323"/>
      <c r="K36" s="304"/>
      <c r="L36" s="413"/>
      <c r="M36" s="460"/>
      <c r="N36" s="462"/>
      <c r="O36" s="463"/>
      <c r="P36" s="458"/>
    </row>
    <row r="37" spans="2:16" ht="12" customHeight="1" x14ac:dyDescent="0.3">
      <c r="B37" s="467"/>
      <c r="C37" s="467"/>
      <c r="D37" s="314"/>
      <c r="E37" s="481"/>
      <c r="F37" s="323"/>
      <c r="G37" s="138">
        <v>6</v>
      </c>
      <c r="H37" s="291"/>
      <c r="I37" s="291"/>
      <c r="J37" s="323"/>
      <c r="K37" s="304"/>
      <c r="L37" s="413"/>
      <c r="M37" s="460"/>
      <c r="N37" s="462"/>
      <c r="O37" s="463"/>
      <c r="P37" s="458"/>
    </row>
    <row r="38" spans="2:16" ht="22.5" hidden="1" customHeight="1" x14ac:dyDescent="0.3">
      <c r="B38" s="467"/>
      <c r="C38" s="467"/>
      <c r="D38" s="314"/>
      <c r="E38" s="481"/>
      <c r="F38" s="323"/>
      <c r="G38" s="138">
        <v>7</v>
      </c>
      <c r="H38" s="291"/>
      <c r="I38" s="291"/>
      <c r="J38" s="323"/>
      <c r="K38" s="304"/>
      <c r="L38" s="413"/>
      <c r="M38" s="460"/>
      <c r="N38" s="462"/>
      <c r="O38" s="463"/>
      <c r="P38" s="458"/>
    </row>
    <row r="39" spans="2:16" ht="22.5" hidden="1" customHeight="1" thickBot="1" x14ac:dyDescent="0.35">
      <c r="B39" s="468"/>
      <c r="C39" s="468"/>
      <c r="D39" s="315"/>
      <c r="E39" s="482"/>
      <c r="F39" s="324"/>
      <c r="G39" s="140">
        <v>8</v>
      </c>
      <c r="H39" s="292"/>
      <c r="I39" s="292"/>
      <c r="J39" s="324"/>
      <c r="K39" s="305"/>
      <c r="L39" s="413"/>
      <c r="M39" s="460"/>
      <c r="N39" s="462"/>
      <c r="O39" s="463"/>
      <c r="P39" s="458"/>
    </row>
    <row r="40" spans="2:16" ht="22.5" customHeight="1" x14ac:dyDescent="0.3">
      <c r="B40" s="483"/>
      <c r="C40" s="483" t="s">
        <v>183</v>
      </c>
      <c r="D40" s="489" t="s">
        <v>8</v>
      </c>
      <c r="E40" s="451" t="s">
        <v>174</v>
      </c>
      <c r="F40" s="469" t="s">
        <v>175</v>
      </c>
      <c r="G40" s="492" t="s">
        <v>115</v>
      </c>
      <c r="H40" s="493"/>
      <c r="I40" s="493"/>
      <c r="J40" s="469" t="s">
        <v>176</v>
      </c>
      <c r="K40" s="505" t="s">
        <v>135</v>
      </c>
      <c r="L40" s="464"/>
      <c r="M40" s="464"/>
      <c r="N40" s="516"/>
      <c r="O40" s="461"/>
      <c r="P40" s="459"/>
    </row>
    <row r="41" spans="2:16" ht="22.5" customHeight="1" x14ac:dyDescent="0.3">
      <c r="B41" s="484"/>
      <c r="C41" s="484"/>
      <c r="D41" s="490"/>
      <c r="E41" s="475"/>
      <c r="F41" s="469"/>
      <c r="G41" s="477" t="s">
        <v>13</v>
      </c>
      <c r="H41" s="451" t="s">
        <v>15</v>
      </c>
      <c r="I41" s="451" t="s">
        <v>17</v>
      </c>
      <c r="J41" s="469"/>
      <c r="K41" s="505"/>
      <c r="L41" s="464"/>
      <c r="M41" s="464"/>
      <c r="N41" s="516"/>
      <c r="O41" s="461"/>
      <c r="P41" s="459"/>
    </row>
    <row r="42" spans="2:16" ht="91.5" customHeight="1" thickBot="1" x14ac:dyDescent="0.35">
      <c r="B42" s="485"/>
      <c r="C42" s="485"/>
      <c r="D42" s="491"/>
      <c r="E42" s="476"/>
      <c r="F42" s="470"/>
      <c r="G42" s="478"/>
      <c r="H42" s="452"/>
      <c r="I42" s="452"/>
      <c r="J42" s="470"/>
      <c r="K42" s="506"/>
      <c r="L42" s="464"/>
      <c r="M42" s="464"/>
      <c r="N42" s="516"/>
      <c r="O42" s="461"/>
      <c r="P42" s="459"/>
    </row>
    <row r="43" spans="2:16" ht="22.5" customHeight="1" x14ac:dyDescent="0.3">
      <c r="B43" s="512" t="str">
        <f>+LEFT(C43,3)</f>
        <v>7.1</v>
      </c>
      <c r="C43" s="471" t="s">
        <v>184</v>
      </c>
      <c r="D43" s="494" t="s">
        <v>178</v>
      </c>
      <c r="E43" s="433" t="s">
        <v>560</v>
      </c>
      <c r="F43" s="322">
        <v>3</v>
      </c>
      <c r="G43" s="141">
        <v>1</v>
      </c>
      <c r="H43" s="433" t="s">
        <v>559</v>
      </c>
      <c r="I43" s="433" t="s">
        <v>521</v>
      </c>
      <c r="J43" s="322">
        <v>2</v>
      </c>
      <c r="K43" s="394" t="str">
        <f t="shared" ref="K43:K75" si="6">+IF(OR(ISBLANK(F43),ISBLANK(J43)),"",IF(OR(AND(F43=1,J43=1),AND(F43=1,J43=2),AND(F43=1,J43=3)),"Deficiencia de control mayor (diseño y ejecución)",IF(OR(AND(F43=2,J43=2),AND(F43=3,J43=1),AND(F43=3,J43=2),AND(F43=2,J43=1)),"Deficiencia de control (diseño o ejecución)",IF(AND(F43=2,J43=3),"Oportunidad de mejora","Mantenimiento del control"))))</f>
        <v>Deficiencia de control (diseño o ejecución)</v>
      </c>
      <c r="L43" s="413">
        <f t="shared" ref="L43:L75" si="7">+IF(K43="",75,IF(K43="Deficiencia de control mayor (diseño y ejecución)",80,IF(K43="Deficiencia de control (diseño o ejecución)",100,IF(K43="Oportunidad de mejora",120,140))))</f>
        <v>100</v>
      </c>
      <c r="M43" s="460">
        <v>2.0895999999999999</v>
      </c>
      <c r="N43" s="462">
        <f>+L43+M43</f>
        <v>102.0896</v>
      </c>
      <c r="O43" s="463"/>
      <c r="P43" s="458"/>
    </row>
    <row r="44" spans="2:16" ht="22.5" customHeight="1" x14ac:dyDescent="0.3">
      <c r="B44" s="513"/>
      <c r="C44" s="472"/>
      <c r="D44" s="495"/>
      <c r="E44" s="425"/>
      <c r="F44" s="323"/>
      <c r="G44" s="138">
        <v>2</v>
      </c>
      <c r="H44" s="425"/>
      <c r="I44" s="425"/>
      <c r="J44" s="323"/>
      <c r="K44" s="304"/>
      <c r="L44" s="413"/>
      <c r="M44" s="460"/>
      <c r="N44" s="462"/>
      <c r="O44" s="463"/>
      <c r="P44" s="458"/>
    </row>
    <row r="45" spans="2:16" ht="22.5" customHeight="1" x14ac:dyDescent="0.3">
      <c r="B45" s="513"/>
      <c r="C45" s="472"/>
      <c r="D45" s="495"/>
      <c r="E45" s="425"/>
      <c r="F45" s="323"/>
      <c r="G45" s="138">
        <v>3</v>
      </c>
      <c r="H45" s="425"/>
      <c r="I45" s="425"/>
      <c r="J45" s="323"/>
      <c r="K45" s="304"/>
      <c r="L45" s="413"/>
      <c r="M45" s="460"/>
      <c r="N45" s="462"/>
      <c r="O45" s="463"/>
      <c r="P45" s="458"/>
    </row>
    <row r="46" spans="2:16" ht="22.5" customHeight="1" x14ac:dyDescent="0.3">
      <c r="B46" s="513"/>
      <c r="C46" s="472"/>
      <c r="D46" s="495"/>
      <c r="E46" s="425"/>
      <c r="F46" s="323"/>
      <c r="G46" s="138">
        <v>4</v>
      </c>
      <c r="H46" s="425"/>
      <c r="I46" s="425"/>
      <c r="J46" s="323"/>
      <c r="K46" s="304"/>
      <c r="L46" s="413"/>
      <c r="M46" s="460"/>
      <c r="N46" s="462"/>
      <c r="O46" s="463"/>
      <c r="P46" s="458"/>
    </row>
    <row r="47" spans="2:16" ht="22.5" customHeight="1" x14ac:dyDescent="0.3">
      <c r="B47" s="513"/>
      <c r="C47" s="472"/>
      <c r="D47" s="495"/>
      <c r="E47" s="425"/>
      <c r="F47" s="323"/>
      <c r="G47" s="138">
        <v>5</v>
      </c>
      <c r="H47" s="425"/>
      <c r="I47" s="425"/>
      <c r="J47" s="323"/>
      <c r="K47" s="304"/>
      <c r="L47" s="413"/>
      <c r="M47" s="460"/>
      <c r="N47" s="462"/>
      <c r="O47" s="463"/>
      <c r="P47" s="458"/>
    </row>
    <row r="48" spans="2:16" ht="22.5" customHeight="1" x14ac:dyDescent="0.3">
      <c r="B48" s="513"/>
      <c r="C48" s="472"/>
      <c r="D48" s="495"/>
      <c r="E48" s="425"/>
      <c r="F48" s="323"/>
      <c r="G48" s="138">
        <v>6</v>
      </c>
      <c r="H48" s="425"/>
      <c r="I48" s="425"/>
      <c r="J48" s="323"/>
      <c r="K48" s="304"/>
      <c r="L48" s="413"/>
      <c r="M48" s="460"/>
      <c r="N48" s="462"/>
      <c r="O48" s="463"/>
      <c r="P48" s="458"/>
    </row>
    <row r="49" spans="2:16" ht="7.5" customHeight="1" thickBot="1" x14ac:dyDescent="0.35">
      <c r="B49" s="513"/>
      <c r="C49" s="472"/>
      <c r="D49" s="495"/>
      <c r="E49" s="425"/>
      <c r="F49" s="323"/>
      <c r="G49" s="138">
        <v>7</v>
      </c>
      <c r="H49" s="425"/>
      <c r="I49" s="425"/>
      <c r="J49" s="323"/>
      <c r="K49" s="304"/>
      <c r="L49" s="413"/>
      <c r="M49" s="460"/>
      <c r="N49" s="462"/>
      <c r="O49" s="463"/>
      <c r="P49" s="458"/>
    </row>
    <row r="50" spans="2:16" ht="22.5" hidden="1" customHeight="1" thickBot="1" x14ac:dyDescent="0.35">
      <c r="B50" s="514"/>
      <c r="C50" s="473"/>
      <c r="D50" s="496"/>
      <c r="E50" s="426"/>
      <c r="F50" s="324"/>
      <c r="G50" s="140">
        <v>8</v>
      </c>
      <c r="H50" s="426"/>
      <c r="I50" s="426"/>
      <c r="J50" s="324"/>
      <c r="K50" s="305"/>
      <c r="L50" s="413"/>
      <c r="M50" s="460"/>
      <c r="N50" s="462"/>
      <c r="O50" s="463"/>
      <c r="P50" s="458"/>
    </row>
    <row r="51" spans="2:16" ht="38.25" customHeight="1" x14ac:dyDescent="0.3">
      <c r="B51" s="512" t="str">
        <f>+LEFT(C51,3)</f>
        <v>7.2</v>
      </c>
      <c r="C51" s="466" t="s">
        <v>185</v>
      </c>
      <c r="D51" s="313" t="s">
        <v>186</v>
      </c>
      <c r="E51" s="433" t="s">
        <v>512</v>
      </c>
      <c r="F51" s="322">
        <v>3</v>
      </c>
      <c r="G51" s="141">
        <v>1</v>
      </c>
      <c r="H51" s="433" t="s">
        <v>561</v>
      </c>
      <c r="I51" s="433" t="s">
        <v>562</v>
      </c>
      <c r="J51" s="322">
        <v>2</v>
      </c>
      <c r="K51" s="507" t="str">
        <f t="shared" si="6"/>
        <v>Deficiencia de control (diseño o ejecución)</v>
      </c>
      <c r="L51" s="413">
        <f t="shared" si="7"/>
        <v>100</v>
      </c>
      <c r="M51" s="460">
        <v>2.1456</v>
      </c>
      <c r="N51" s="462">
        <f t="shared" ref="N51:N75" si="8">+L51+M51</f>
        <v>102.1456</v>
      </c>
      <c r="O51" s="463"/>
      <c r="P51" s="458"/>
    </row>
    <row r="52" spans="2:16" ht="38.25" customHeight="1" x14ac:dyDescent="0.3">
      <c r="B52" s="513"/>
      <c r="C52" s="467"/>
      <c r="D52" s="314"/>
      <c r="E52" s="425"/>
      <c r="F52" s="323"/>
      <c r="G52" s="138">
        <v>2</v>
      </c>
      <c r="H52" s="425"/>
      <c r="I52" s="425"/>
      <c r="J52" s="323"/>
      <c r="K52" s="508"/>
      <c r="L52" s="413"/>
      <c r="M52" s="460"/>
      <c r="N52" s="462"/>
      <c r="O52" s="463"/>
      <c r="P52" s="458"/>
    </row>
    <row r="53" spans="2:16" ht="23.25" customHeight="1" x14ac:dyDescent="0.3">
      <c r="B53" s="513"/>
      <c r="C53" s="467"/>
      <c r="D53" s="314"/>
      <c r="E53" s="425"/>
      <c r="F53" s="323"/>
      <c r="G53" s="138">
        <v>3</v>
      </c>
      <c r="H53" s="425"/>
      <c r="I53" s="425"/>
      <c r="J53" s="323"/>
      <c r="K53" s="508"/>
      <c r="L53" s="413"/>
      <c r="M53" s="460"/>
      <c r="N53" s="462"/>
      <c r="O53" s="463"/>
      <c r="P53" s="458"/>
    </row>
    <row r="54" spans="2:16" ht="1.5" customHeight="1" thickBot="1" x14ac:dyDescent="0.35">
      <c r="B54" s="513"/>
      <c r="C54" s="467"/>
      <c r="D54" s="314"/>
      <c r="E54" s="425"/>
      <c r="F54" s="323"/>
      <c r="G54" s="138">
        <v>4</v>
      </c>
      <c r="H54" s="425"/>
      <c r="I54" s="425"/>
      <c r="J54" s="323"/>
      <c r="K54" s="508"/>
      <c r="L54" s="413"/>
      <c r="M54" s="460"/>
      <c r="N54" s="462"/>
      <c r="O54" s="463"/>
      <c r="P54" s="458"/>
    </row>
    <row r="55" spans="2:16" ht="38.25" hidden="1" customHeight="1" thickBot="1" x14ac:dyDescent="0.35">
      <c r="B55" s="513"/>
      <c r="C55" s="467"/>
      <c r="D55" s="314"/>
      <c r="E55" s="425"/>
      <c r="F55" s="323"/>
      <c r="G55" s="138">
        <v>5</v>
      </c>
      <c r="H55" s="425"/>
      <c r="I55" s="425"/>
      <c r="J55" s="323"/>
      <c r="K55" s="508"/>
      <c r="L55" s="413"/>
      <c r="M55" s="460"/>
      <c r="N55" s="462"/>
      <c r="O55" s="463"/>
      <c r="P55" s="458"/>
    </row>
    <row r="56" spans="2:16" ht="5.25" hidden="1" customHeight="1" thickBot="1" x14ac:dyDescent="0.35">
      <c r="B56" s="513"/>
      <c r="C56" s="467"/>
      <c r="D56" s="314"/>
      <c r="E56" s="425"/>
      <c r="F56" s="323"/>
      <c r="G56" s="138">
        <v>6</v>
      </c>
      <c r="H56" s="425"/>
      <c r="I56" s="425"/>
      <c r="J56" s="323"/>
      <c r="K56" s="508"/>
      <c r="L56" s="413"/>
      <c r="M56" s="460"/>
      <c r="N56" s="462"/>
      <c r="O56" s="463"/>
      <c r="P56" s="458"/>
    </row>
    <row r="57" spans="2:16" ht="38.25" hidden="1" customHeight="1" thickBot="1" x14ac:dyDescent="0.35">
      <c r="B57" s="513"/>
      <c r="C57" s="467"/>
      <c r="D57" s="314"/>
      <c r="E57" s="425"/>
      <c r="F57" s="323"/>
      <c r="G57" s="138">
        <v>7</v>
      </c>
      <c r="H57" s="425"/>
      <c r="I57" s="425"/>
      <c r="J57" s="323"/>
      <c r="K57" s="508"/>
      <c r="L57" s="413"/>
      <c r="M57" s="460"/>
      <c r="N57" s="462"/>
      <c r="O57" s="463"/>
      <c r="P57" s="458"/>
    </row>
    <row r="58" spans="2:16" ht="38.25" hidden="1" customHeight="1" thickBot="1" x14ac:dyDescent="0.35">
      <c r="B58" s="514"/>
      <c r="C58" s="468"/>
      <c r="D58" s="315"/>
      <c r="E58" s="426"/>
      <c r="F58" s="324"/>
      <c r="G58" s="140">
        <v>8</v>
      </c>
      <c r="H58" s="426"/>
      <c r="I58" s="426"/>
      <c r="J58" s="324"/>
      <c r="K58" s="509"/>
      <c r="L58" s="413"/>
      <c r="M58" s="460"/>
      <c r="N58" s="462"/>
      <c r="O58" s="463"/>
      <c r="P58" s="458"/>
    </row>
    <row r="59" spans="2:16" ht="27" customHeight="1" x14ac:dyDescent="0.3">
      <c r="B59" s="512" t="str">
        <f>+LEFT(C59,3)</f>
        <v>7.3</v>
      </c>
      <c r="C59" s="466" t="s">
        <v>187</v>
      </c>
      <c r="D59" s="313" t="s">
        <v>186</v>
      </c>
      <c r="E59" s="433" t="s">
        <v>563</v>
      </c>
      <c r="F59" s="322">
        <v>1</v>
      </c>
      <c r="G59" s="141">
        <v>1</v>
      </c>
      <c r="H59" s="433" t="s">
        <v>564</v>
      </c>
      <c r="I59" s="453" t="s">
        <v>600</v>
      </c>
      <c r="J59" s="322">
        <v>1</v>
      </c>
      <c r="K59" s="394" t="str">
        <f t="shared" si="6"/>
        <v>Deficiencia de control mayor (diseño y ejecución)</v>
      </c>
      <c r="L59" s="413">
        <f t="shared" si="7"/>
        <v>80</v>
      </c>
      <c r="M59" s="460">
        <v>2.2364999999999999</v>
      </c>
      <c r="N59" s="462">
        <f t="shared" si="8"/>
        <v>82.236500000000007</v>
      </c>
      <c r="O59" s="463"/>
      <c r="P59" s="458"/>
    </row>
    <row r="60" spans="2:16" ht="27" customHeight="1" x14ac:dyDescent="0.3">
      <c r="B60" s="513"/>
      <c r="C60" s="467"/>
      <c r="D60" s="314"/>
      <c r="E60" s="425"/>
      <c r="F60" s="323"/>
      <c r="G60" s="138">
        <v>2</v>
      </c>
      <c r="H60" s="425"/>
      <c r="I60" s="454"/>
      <c r="J60" s="323"/>
      <c r="K60" s="304"/>
      <c r="L60" s="413"/>
      <c r="M60" s="460"/>
      <c r="N60" s="462"/>
      <c r="O60" s="463"/>
      <c r="P60" s="458"/>
    </row>
    <row r="61" spans="2:16" ht="27" customHeight="1" x14ac:dyDescent="0.3">
      <c r="B61" s="513"/>
      <c r="C61" s="467"/>
      <c r="D61" s="314"/>
      <c r="E61" s="425"/>
      <c r="F61" s="323"/>
      <c r="G61" s="138">
        <v>3</v>
      </c>
      <c r="H61" s="425"/>
      <c r="I61" s="454"/>
      <c r="J61" s="323"/>
      <c r="K61" s="304"/>
      <c r="L61" s="413"/>
      <c r="M61" s="460"/>
      <c r="N61" s="462"/>
      <c r="O61" s="463"/>
      <c r="P61" s="458"/>
    </row>
    <row r="62" spans="2:16" ht="27" customHeight="1" thickBot="1" x14ac:dyDescent="0.35">
      <c r="B62" s="513"/>
      <c r="C62" s="467"/>
      <c r="D62" s="314"/>
      <c r="E62" s="425"/>
      <c r="F62" s="323"/>
      <c r="G62" s="138">
        <v>4</v>
      </c>
      <c r="H62" s="425"/>
      <c r="I62" s="454"/>
      <c r="J62" s="323"/>
      <c r="K62" s="304"/>
      <c r="L62" s="413"/>
      <c r="M62" s="460"/>
      <c r="N62" s="462"/>
      <c r="O62" s="463"/>
      <c r="P62" s="458"/>
    </row>
    <row r="63" spans="2:16" ht="27" hidden="1" customHeight="1" thickBot="1" x14ac:dyDescent="0.35">
      <c r="B63" s="513"/>
      <c r="C63" s="467"/>
      <c r="D63" s="314"/>
      <c r="E63" s="425"/>
      <c r="F63" s="323"/>
      <c r="G63" s="138">
        <v>5</v>
      </c>
      <c r="H63" s="425"/>
      <c r="I63" s="454"/>
      <c r="J63" s="323"/>
      <c r="K63" s="304"/>
      <c r="L63" s="413"/>
      <c r="M63" s="460"/>
      <c r="N63" s="462"/>
      <c r="O63" s="463"/>
      <c r="P63" s="458"/>
    </row>
    <row r="64" spans="2:16" ht="27" hidden="1" customHeight="1" thickBot="1" x14ac:dyDescent="0.35">
      <c r="B64" s="513"/>
      <c r="C64" s="467"/>
      <c r="D64" s="314"/>
      <c r="E64" s="425"/>
      <c r="F64" s="323"/>
      <c r="G64" s="138">
        <v>6</v>
      </c>
      <c r="H64" s="425"/>
      <c r="I64" s="454"/>
      <c r="J64" s="323"/>
      <c r="K64" s="304"/>
      <c r="L64" s="413"/>
      <c r="M64" s="460"/>
      <c r="N64" s="462"/>
      <c r="O64" s="463"/>
      <c r="P64" s="458"/>
    </row>
    <row r="65" spans="2:16" ht="27" hidden="1" customHeight="1" thickBot="1" x14ac:dyDescent="0.35">
      <c r="B65" s="513"/>
      <c r="C65" s="467"/>
      <c r="D65" s="314"/>
      <c r="E65" s="425"/>
      <c r="F65" s="323"/>
      <c r="G65" s="138">
        <v>7</v>
      </c>
      <c r="H65" s="425"/>
      <c r="I65" s="454"/>
      <c r="J65" s="323"/>
      <c r="K65" s="304"/>
      <c r="L65" s="413"/>
      <c r="M65" s="460"/>
      <c r="N65" s="462"/>
      <c r="O65" s="463"/>
      <c r="P65" s="458"/>
    </row>
    <row r="66" spans="2:16" ht="27" hidden="1" customHeight="1" thickBot="1" x14ac:dyDescent="0.35">
      <c r="B66" s="514"/>
      <c r="C66" s="468"/>
      <c r="D66" s="315"/>
      <c r="E66" s="426"/>
      <c r="F66" s="324"/>
      <c r="G66" s="140">
        <v>8</v>
      </c>
      <c r="H66" s="426"/>
      <c r="I66" s="455"/>
      <c r="J66" s="324"/>
      <c r="K66" s="305"/>
      <c r="L66" s="413"/>
      <c r="M66" s="460"/>
      <c r="N66" s="462"/>
      <c r="O66" s="463"/>
      <c r="P66" s="458"/>
    </row>
    <row r="67" spans="2:16" ht="27" customHeight="1" x14ac:dyDescent="0.3">
      <c r="B67" s="512" t="str">
        <f>+LEFT(C67,3)</f>
        <v>7.4</v>
      </c>
      <c r="C67" s="466" t="s">
        <v>188</v>
      </c>
      <c r="D67" s="313" t="s">
        <v>189</v>
      </c>
      <c r="E67" s="433" t="s">
        <v>565</v>
      </c>
      <c r="F67" s="322">
        <v>3</v>
      </c>
      <c r="G67" s="141">
        <v>1</v>
      </c>
      <c r="H67" s="433" t="s">
        <v>601</v>
      </c>
      <c r="I67" s="433" t="s">
        <v>602</v>
      </c>
      <c r="J67" s="322">
        <v>3</v>
      </c>
      <c r="K67" s="394" t="str">
        <f t="shared" si="6"/>
        <v>Mantenimiento del control</v>
      </c>
      <c r="L67" s="413">
        <f t="shared" si="7"/>
        <v>140</v>
      </c>
      <c r="M67" s="460">
        <v>2.3896000000000002</v>
      </c>
      <c r="N67" s="462">
        <f t="shared" si="8"/>
        <v>142.3896</v>
      </c>
      <c r="O67" s="463"/>
      <c r="P67" s="458"/>
    </row>
    <row r="68" spans="2:16" ht="27" customHeight="1" x14ac:dyDescent="0.3">
      <c r="B68" s="513"/>
      <c r="C68" s="467"/>
      <c r="D68" s="314"/>
      <c r="E68" s="425"/>
      <c r="F68" s="323"/>
      <c r="G68" s="138">
        <v>2</v>
      </c>
      <c r="H68" s="425"/>
      <c r="I68" s="425"/>
      <c r="J68" s="323"/>
      <c r="K68" s="304"/>
      <c r="L68" s="413"/>
      <c r="M68" s="460"/>
      <c r="N68" s="462"/>
      <c r="O68" s="463"/>
      <c r="P68" s="458"/>
    </row>
    <row r="69" spans="2:16" ht="27" customHeight="1" x14ac:dyDescent="0.3">
      <c r="B69" s="513"/>
      <c r="C69" s="467"/>
      <c r="D69" s="314"/>
      <c r="E69" s="425"/>
      <c r="F69" s="323"/>
      <c r="G69" s="138">
        <v>3</v>
      </c>
      <c r="H69" s="425"/>
      <c r="I69" s="425"/>
      <c r="J69" s="323"/>
      <c r="K69" s="304"/>
      <c r="L69" s="413"/>
      <c r="M69" s="460"/>
      <c r="N69" s="462"/>
      <c r="O69" s="463"/>
      <c r="P69" s="458"/>
    </row>
    <row r="70" spans="2:16" ht="27" customHeight="1" x14ac:dyDescent="0.3">
      <c r="B70" s="513"/>
      <c r="C70" s="467"/>
      <c r="D70" s="314"/>
      <c r="E70" s="425"/>
      <c r="F70" s="323"/>
      <c r="G70" s="138">
        <v>4</v>
      </c>
      <c r="H70" s="425"/>
      <c r="I70" s="425"/>
      <c r="J70" s="323"/>
      <c r="K70" s="304"/>
      <c r="L70" s="413"/>
      <c r="M70" s="460"/>
      <c r="N70" s="462"/>
      <c r="O70" s="463"/>
      <c r="P70" s="458"/>
    </row>
    <row r="71" spans="2:16" ht="27" customHeight="1" x14ac:dyDescent="0.3">
      <c r="B71" s="513"/>
      <c r="C71" s="467"/>
      <c r="D71" s="314"/>
      <c r="E71" s="425"/>
      <c r="F71" s="323"/>
      <c r="G71" s="138">
        <v>5</v>
      </c>
      <c r="H71" s="425"/>
      <c r="I71" s="425"/>
      <c r="J71" s="323"/>
      <c r="K71" s="304"/>
      <c r="L71" s="413"/>
      <c r="M71" s="460"/>
      <c r="N71" s="462"/>
      <c r="O71" s="463"/>
      <c r="P71" s="458"/>
    </row>
    <row r="72" spans="2:16" ht="13.5" customHeight="1" thickBot="1" x14ac:dyDescent="0.35">
      <c r="B72" s="513"/>
      <c r="C72" s="467"/>
      <c r="D72" s="314"/>
      <c r="E72" s="425"/>
      <c r="F72" s="323"/>
      <c r="G72" s="138">
        <v>6</v>
      </c>
      <c r="H72" s="425"/>
      <c r="I72" s="425"/>
      <c r="J72" s="323"/>
      <c r="K72" s="304"/>
      <c r="L72" s="413"/>
      <c r="M72" s="460"/>
      <c r="N72" s="462"/>
      <c r="O72" s="463"/>
      <c r="P72" s="458"/>
    </row>
    <row r="73" spans="2:16" ht="27" hidden="1" customHeight="1" thickBot="1" x14ac:dyDescent="0.35">
      <c r="B73" s="513"/>
      <c r="C73" s="467"/>
      <c r="D73" s="314"/>
      <c r="E73" s="425"/>
      <c r="F73" s="323"/>
      <c r="G73" s="138">
        <v>7</v>
      </c>
      <c r="H73" s="138"/>
      <c r="I73" s="433"/>
      <c r="J73" s="323"/>
      <c r="K73" s="304"/>
      <c r="L73" s="413"/>
      <c r="M73" s="460"/>
      <c r="N73" s="462"/>
      <c r="O73" s="463"/>
      <c r="P73" s="458"/>
    </row>
    <row r="74" spans="2:16" ht="27" hidden="1" customHeight="1" thickBot="1" x14ac:dyDescent="0.35">
      <c r="B74" s="514"/>
      <c r="C74" s="468"/>
      <c r="D74" s="315"/>
      <c r="E74" s="426"/>
      <c r="F74" s="324"/>
      <c r="G74" s="140">
        <v>8</v>
      </c>
      <c r="H74" s="140"/>
      <c r="I74" s="425"/>
      <c r="J74" s="324"/>
      <c r="K74" s="305"/>
      <c r="L74" s="413"/>
      <c r="M74" s="460"/>
      <c r="N74" s="462"/>
      <c r="O74" s="463"/>
      <c r="P74" s="458"/>
    </row>
    <row r="75" spans="2:16" ht="27.75" customHeight="1" x14ac:dyDescent="0.3">
      <c r="B75" s="512" t="str">
        <f>+LEFT(C75,3)</f>
        <v>7.5</v>
      </c>
      <c r="C75" s="466" t="s">
        <v>190</v>
      </c>
      <c r="D75" s="313" t="s">
        <v>191</v>
      </c>
      <c r="E75" s="433" t="s">
        <v>566</v>
      </c>
      <c r="F75" s="322">
        <v>3</v>
      </c>
      <c r="G75" s="141">
        <v>1</v>
      </c>
      <c r="H75" s="433" t="s">
        <v>567</v>
      </c>
      <c r="I75" s="433" t="s">
        <v>603</v>
      </c>
      <c r="J75" s="322">
        <v>2</v>
      </c>
      <c r="K75" s="394" t="str">
        <f t="shared" si="6"/>
        <v>Deficiencia de control (diseño o ejecución)</v>
      </c>
      <c r="L75" s="413">
        <f t="shared" si="7"/>
        <v>100</v>
      </c>
      <c r="M75" s="460">
        <v>2.4563000000000001</v>
      </c>
      <c r="N75" s="462">
        <f t="shared" si="8"/>
        <v>102.4563</v>
      </c>
      <c r="O75" s="463"/>
      <c r="P75" s="458"/>
    </row>
    <row r="76" spans="2:16" ht="27.75" customHeight="1" x14ac:dyDescent="0.3">
      <c r="B76" s="513"/>
      <c r="C76" s="467"/>
      <c r="D76" s="314"/>
      <c r="E76" s="425"/>
      <c r="F76" s="323"/>
      <c r="G76" s="138">
        <v>2</v>
      </c>
      <c r="H76" s="425"/>
      <c r="I76" s="425"/>
      <c r="J76" s="323"/>
      <c r="K76" s="304"/>
      <c r="L76" s="413"/>
      <c r="M76" s="460"/>
      <c r="N76" s="462"/>
      <c r="O76" s="463"/>
      <c r="P76" s="458"/>
    </row>
    <row r="77" spans="2:16" ht="27.75" customHeight="1" x14ac:dyDescent="0.3">
      <c r="B77" s="513"/>
      <c r="C77" s="467"/>
      <c r="D77" s="314"/>
      <c r="E77" s="425"/>
      <c r="F77" s="323"/>
      <c r="G77" s="138">
        <v>3</v>
      </c>
      <c r="H77" s="425"/>
      <c r="I77" s="425"/>
      <c r="J77" s="323"/>
      <c r="K77" s="304"/>
      <c r="L77" s="413"/>
      <c r="M77" s="460"/>
      <c r="N77" s="462"/>
      <c r="O77" s="463"/>
      <c r="P77" s="458"/>
    </row>
    <row r="78" spans="2:16" ht="21" customHeight="1" x14ac:dyDescent="0.3">
      <c r="B78" s="513"/>
      <c r="C78" s="467"/>
      <c r="D78" s="314"/>
      <c r="E78" s="425"/>
      <c r="F78" s="323"/>
      <c r="G78" s="138">
        <v>4</v>
      </c>
      <c r="H78" s="425"/>
      <c r="I78" s="425"/>
      <c r="J78" s="323"/>
      <c r="K78" s="304"/>
      <c r="L78" s="413"/>
      <c r="M78" s="460"/>
      <c r="N78" s="462"/>
      <c r="O78" s="463"/>
      <c r="P78" s="458"/>
    </row>
    <row r="79" spans="2:16" ht="15" hidden="1" customHeight="1" x14ac:dyDescent="0.3">
      <c r="B79" s="513"/>
      <c r="C79" s="467"/>
      <c r="D79" s="314"/>
      <c r="E79" s="425"/>
      <c r="F79" s="323"/>
      <c r="G79" s="138">
        <v>5</v>
      </c>
      <c r="H79" s="425"/>
      <c r="I79" s="425"/>
      <c r="J79" s="323"/>
      <c r="K79" s="304"/>
      <c r="L79" s="413"/>
      <c r="M79" s="460"/>
      <c r="N79" s="462"/>
      <c r="O79" s="463"/>
      <c r="P79" s="458"/>
    </row>
    <row r="80" spans="2:16" ht="27.75" hidden="1" customHeight="1" x14ac:dyDescent="0.3">
      <c r="B80" s="513"/>
      <c r="C80" s="467"/>
      <c r="D80" s="314"/>
      <c r="E80" s="425"/>
      <c r="F80" s="323"/>
      <c r="G80" s="138">
        <v>6</v>
      </c>
      <c r="H80" s="425"/>
      <c r="I80" s="425"/>
      <c r="J80" s="323"/>
      <c r="K80" s="304"/>
      <c r="L80" s="413"/>
      <c r="M80" s="460"/>
      <c r="N80" s="462"/>
      <c r="O80" s="463"/>
      <c r="P80" s="458"/>
    </row>
    <row r="81" spans="2:16" ht="4.5" hidden="1" customHeight="1" x14ac:dyDescent="0.3">
      <c r="B81" s="513"/>
      <c r="C81" s="467"/>
      <c r="D81" s="314"/>
      <c r="E81" s="425"/>
      <c r="F81" s="323"/>
      <c r="G81" s="138">
        <v>7</v>
      </c>
      <c r="H81" s="425"/>
      <c r="I81" s="425"/>
      <c r="J81" s="323"/>
      <c r="K81" s="304"/>
      <c r="L81" s="413"/>
      <c r="M81" s="460"/>
      <c r="N81" s="462"/>
      <c r="O81" s="463"/>
      <c r="P81" s="458"/>
    </row>
    <row r="82" spans="2:16" ht="27.75" hidden="1" customHeight="1" thickBot="1" x14ac:dyDescent="0.35">
      <c r="B82" s="514"/>
      <c r="C82" s="468"/>
      <c r="D82" s="315"/>
      <c r="E82" s="426"/>
      <c r="F82" s="324"/>
      <c r="G82" s="140">
        <v>8</v>
      </c>
      <c r="H82" s="426"/>
      <c r="I82" s="426"/>
      <c r="J82" s="324"/>
      <c r="K82" s="305"/>
      <c r="L82" s="413"/>
      <c r="M82" s="460"/>
      <c r="N82" s="462"/>
      <c r="O82" s="463"/>
      <c r="P82" s="458"/>
    </row>
    <row r="83" spans="2:16" ht="22.5" customHeight="1" x14ac:dyDescent="0.3">
      <c r="B83" s="486"/>
      <c r="C83" s="486" t="s">
        <v>192</v>
      </c>
      <c r="D83" s="489" t="s">
        <v>8</v>
      </c>
      <c r="E83" s="451" t="s">
        <v>174</v>
      </c>
      <c r="F83" s="469" t="s">
        <v>175</v>
      </c>
      <c r="G83" s="492" t="s">
        <v>115</v>
      </c>
      <c r="H83" s="493"/>
      <c r="I83" s="493"/>
      <c r="J83" s="469" t="s">
        <v>176</v>
      </c>
      <c r="K83" s="505" t="s">
        <v>135</v>
      </c>
      <c r="L83" s="464"/>
      <c r="M83" s="464"/>
      <c r="N83" s="516"/>
      <c r="O83" s="461"/>
      <c r="P83" s="459"/>
    </row>
    <row r="84" spans="2:16" ht="22.5" customHeight="1" x14ac:dyDescent="0.3">
      <c r="B84" s="487"/>
      <c r="C84" s="487"/>
      <c r="D84" s="490"/>
      <c r="E84" s="475"/>
      <c r="F84" s="469"/>
      <c r="G84" s="477" t="s">
        <v>13</v>
      </c>
      <c r="H84" s="451" t="s">
        <v>15</v>
      </c>
      <c r="I84" s="451" t="s">
        <v>17</v>
      </c>
      <c r="J84" s="469"/>
      <c r="K84" s="505"/>
      <c r="L84" s="464"/>
      <c r="M84" s="464"/>
      <c r="N84" s="516"/>
      <c r="O84" s="461"/>
      <c r="P84" s="459"/>
    </row>
    <row r="85" spans="2:16" ht="72" customHeight="1" thickBot="1" x14ac:dyDescent="0.35">
      <c r="B85" s="488"/>
      <c r="C85" s="488"/>
      <c r="D85" s="491"/>
      <c r="E85" s="476"/>
      <c r="F85" s="470"/>
      <c r="G85" s="478"/>
      <c r="H85" s="452"/>
      <c r="I85" s="452"/>
      <c r="J85" s="470"/>
      <c r="K85" s="506"/>
      <c r="L85" s="464"/>
      <c r="M85" s="464"/>
      <c r="N85" s="516"/>
      <c r="O85" s="461"/>
      <c r="P85" s="459"/>
    </row>
    <row r="86" spans="2:16" ht="28.5" customHeight="1" x14ac:dyDescent="0.3">
      <c r="B86" s="512" t="str">
        <f>+LEFT(C86,3)</f>
        <v>8.1</v>
      </c>
      <c r="C86" s="466" t="s">
        <v>193</v>
      </c>
      <c r="D86" s="313" t="s">
        <v>178</v>
      </c>
      <c r="E86" s="279" t="s">
        <v>568</v>
      </c>
      <c r="F86" s="322">
        <v>3</v>
      </c>
      <c r="G86" s="141">
        <v>1</v>
      </c>
      <c r="H86" s="279" t="s">
        <v>569</v>
      </c>
      <c r="I86" s="456" t="s">
        <v>604</v>
      </c>
      <c r="J86" s="322">
        <v>2</v>
      </c>
      <c r="K86" s="394" t="str">
        <f t="shared" ref="K86:K110" si="9">+IF(OR(ISBLANK(F86),ISBLANK(J86)),"",IF(OR(AND(F86=1,J86=1),AND(F86=1,J86=2),AND(F86=1,J86=3)),"Deficiencia de control mayor (diseño y ejecución)",IF(OR(AND(F86=2,J86=2),AND(F86=3,J86=1),AND(F86=3,J86=2),AND(F86=2,J86=1)),"Deficiencia de control (diseño o ejecución)",IF(AND(F86=2,J86=3),"Oportunidad de mejora","Mantenimiento del control"))))</f>
        <v>Deficiencia de control (diseño o ejecución)</v>
      </c>
      <c r="L86" s="413">
        <f t="shared" ref="L86:L110" si="10">+IF(K86="",75,IF(K86="Deficiencia de control mayor (diseño y ejecución)",80,IF(K86="Deficiencia de control (diseño o ejecución)",100,IF(K86="Oportunidad de mejora",120,140))))</f>
        <v>100</v>
      </c>
      <c r="M86" s="460">
        <v>2.5457999999999998</v>
      </c>
      <c r="N86" s="462">
        <f t="shared" ref="N86:N110" si="11">+L86+M86</f>
        <v>102.5458</v>
      </c>
      <c r="O86" s="463"/>
      <c r="P86" s="458"/>
    </row>
    <row r="87" spans="2:16" ht="28.5" customHeight="1" x14ac:dyDescent="0.3">
      <c r="B87" s="513"/>
      <c r="C87" s="467"/>
      <c r="D87" s="314"/>
      <c r="E87" s="280"/>
      <c r="F87" s="323"/>
      <c r="G87" s="138">
        <v>2</v>
      </c>
      <c r="H87" s="280"/>
      <c r="I87" s="334"/>
      <c r="J87" s="323"/>
      <c r="K87" s="304"/>
      <c r="L87" s="413"/>
      <c r="M87" s="460"/>
      <c r="N87" s="462"/>
      <c r="O87" s="463"/>
      <c r="P87" s="458"/>
    </row>
    <row r="88" spans="2:16" ht="28.5" customHeight="1" x14ac:dyDescent="0.3">
      <c r="B88" s="513"/>
      <c r="C88" s="467"/>
      <c r="D88" s="314"/>
      <c r="E88" s="280"/>
      <c r="F88" s="323"/>
      <c r="G88" s="138">
        <v>3</v>
      </c>
      <c r="H88" s="280"/>
      <c r="I88" s="334"/>
      <c r="J88" s="323"/>
      <c r="K88" s="304"/>
      <c r="L88" s="413"/>
      <c r="M88" s="460"/>
      <c r="N88" s="462"/>
      <c r="O88" s="463"/>
      <c r="P88" s="458"/>
    </row>
    <row r="89" spans="2:16" ht="28.5" customHeight="1" x14ac:dyDescent="0.3">
      <c r="B89" s="513"/>
      <c r="C89" s="467"/>
      <c r="D89" s="314"/>
      <c r="E89" s="280"/>
      <c r="F89" s="323"/>
      <c r="G89" s="138">
        <v>4</v>
      </c>
      <c r="H89" s="280"/>
      <c r="I89" s="334"/>
      <c r="J89" s="323"/>
      <c r="K89" s="304"/>
      <c r="L89" s="413"/>
      <c r="M89" s="460"/>
      <c r="N89" s="462"/>
      <c r="O89" s="463"/>
      <c r="P89" s="458"/>
    </row>
    <row r="90" spans="2:16" ht="28.5" customHeight="1" x14ac:dyDescent="0.3">
      <c r="B90" s="513"/>
      <c r="C90" s="467"/>
      <c r="D90" s="314"/>
      <c r="E90" s="280"/>
      <c r="F90" s="323"/>
      <c r="G90" s="138">
        <v>5</v>
      </c>
      <c r="H90" s="280"/>
      <c r="I90" s="334"/>
      <c r="J90" s="323"/>
      <c r="K90" s="304"/>
      <c r="L90" s="413"/>
      <c r="M90" s="460"/>
      <c r="N90" s="462"/>
      <c r="O90" s="463"/>
      <c r="P90" s="458"/>
    </row>
    <row r="91" spans="2:16" ht="25.5" customHeight="1" thickBot="1" x14ac:dyDescent="0.35">
      <c r="B91" s="513"/>
      <c r="C91" s="467"/>
      <c r="D91" s="314"/>
      <c r="E91" s="280"/>
      <c r="F91" s="323"/>
      <c r="G91" s="138">
        <v>6</v>
      </c>
      <c r="H91" s="280"/>
      <c r="I91" s="334"/>
      <c r="J91" s="323"/>
      <c r="K91" s="304"/>
      <c r="L91" s="413"/>
      <c r="M91" s="460"/>
      <c r="N91" s="462"/>
      <c r="O91" s="463"/>
      <c r="P91" s="458"/>
    </row>
    <row r="92" spans="2:16" ht="12" hidden="1" customHeight="1" thickBot="1" x14ac:dyDescent="0.35">
      <c r="B92" s="513"/>
      <c r="C92" s="467"/>
      <c r="D92" s="314"/>
      <c r="E92" s="280"/>
      <c r="F92" s="323"/>
      <c r="G92" s="138">
        <v>7</v>
      </c>
      <c r="H92" s="280"/>
      <c r="I92" s="334"/>
      <c r="J92" s="323"/>
      <c r="K92" s="304"/>
      <c r="L92" s="413"/>
      <c r="M92" s="460"/>
      <c r="N92" s="462"/>
      <c r="O92" s="463"/>
      <c r="P92" s="458"/>
    </row>
    <row r="93" spans="2:16" ht="28.5" hidden="1" customHeight="1" thickBot="1" x14ac:dyDescent="0.35">
      <c r="B93" s="514"/>
      <c r="C93" s="468"/>
      <c r="D93" s="315"/>
      <c r="E93" s="281"/>
      <c r="F93" s="324"/>
      <c r="G93" s="140">
        <v>8</v>
      </c>
      <c r="H93" s="140"/>
      <c r="I93" s="335"/>
      <c r="J93" s="324"/>
      <c r="K93" s="305"/>
      <c r="L93" s="413"/>
      <c r="M93" s="460"/>
      <c r="N93" s="462"/>
      <c r="O93" s="463"/>
      <c r="P93" s="458"/>
    </row>
    <row r="94" spans="2:16" ht="28.5" customHeight="1" x14ac:dyDescent="0.3">
      <c r="B94" s="512" t="str">
        <f>+LEFT(C94,3)</f>
        <v>8.2</v>
      </c>
      <c r="C94" s="466" t="s">
        <v>194</v>
      </c>
      <c r="D94" s="313" t="s">
        <v>195</v>
      </c>
      <c r="E94" s="279" t="s">
        <v>570</v>
      </c>
      <c r="F94" s="322">
        <v>2</v>
      </c>
      <c r="G94" s="141">
        <v>1</v>
      </c>
      <c r="H94" s="285" t="s">
        <v>605</v>
      </c>
      <c r="I94" s="285" t="s">
        <v>606</v>
      </c>
      <c r="J94" s="322">
        <v>2</v>
      </c>
      <c r="K94" s="394" t="str">
        <f t="shared" si="9"/>
        <v>Deficiencia de control (diseño o ejecución)</v>
      </c>
      <c r="L94" s="413">
        <f t="shared" si="10"/>
        <v>100</v>
      </c>
      <c r="M94" s="460">
        <v>2.6320999999999999</v>
      </c>
      <c r="N94" s="462">
        <f t="shared" si="11"/>
        <v>102.63209999999999</v>
      </c>
      <c r="O94" s="463"/>
      <c r="P94" s="458"/>
    </row>
    <row r="95" spans="2:16" ht="28.5" customHeight="1" x14ac:dyDescent="0.3">
      <c r="B95" s="513"/>
      <c r="C95" s="467"/>
      <c r="D95" s="314"/>
      <c r="E95" s="280"/>
      <c r="F95" s="323"/>
      <c r="G95" s="138">
        <v>2</v>
      </c>
      <c r="H95" s="443"/>
      <c r="I95" s="342"/>
      <c r="J95" s="323"/>
      <c r="K95" s="304"/>
      <c r="L95" s="413"/>
      <c r="M95" s="460"/>
      <c r="N95" s="462"/>
      <c r="O95" s="463"/>
      <c r="P95" s="458"/>
    </row>
    <row r="96" spans="2:16" ht="28.5" customHeight="1" x14ac:dyDescent="0.3">
      <c r="B96" s="513"/>
      <c r="C96" s="467"/>
      <c r="D96" s="314"/>
      <c r="E96" s="280"/>
      <c r="F96" s="323"/>
      <c r="G96" s="138">
        <v>3</v>
      </c>
      <c r="H96" s="443"/>
      <c r="I96" s="342"/>
      <c r="J96" s="323"/>
      <c r="K96" s="304"/>
      <c r="L96" s="413"/>
      <c r="M96" s="460"/>
      <c r="N96" s="462"/>
      <c r="O96" s="463"/>
      <c r="P96" s="458"/>
    </row>
    <row r="97" spans="2:16" ht="19.5" customHeight="1" thickBot="1" x14ac:dyDescent="0.35">
      <c r="B97" s="513"/>
      <c r="C97" s="467"/>
      <c r="D97" s="314"/>
      <c r="E97" s="280"/>
      <c r="F97" s="323"/>
      <c r="G97" s="138">
        <v>4</v>
      </c>
      <c r="H97" s="443"/>
      <c r="I97" s="342"/>
      <c r="J97" s="323"/>
      <c r="K97" s="304"/>
      <c r="L97" s="413"/>
      <c r="M97" s="460"/>
      <c r="N97" s="462"/>
      <c r="O97" s="463"/>
      <c r="P97" s="458"/>
    </row>
    <row r="98" spans="2:16" ht="12.75" hidden="1" customHeight="1" thickBot="1" x14ac:dyDescent="0.35">
      <c r="B98" s="513"/>
      <c r="C98" s="467"/>
      <c r="D98" s="314"/>
      <c r="E98" s="280"/>
      <c r="F98" s="323"/>
      <c r="G98" s="138">
        <v>5</v>
      </c>
      <c r="H98" s="443"/>
      <c r="I98" s="342"/>
      <c r="J98" s="323"/>
      <c r="K98" s="304"/>
      <c r="L98" s="413"/>
      <c r="M98" s="460"/>
      <c r="N98" s="462"/>
      <c r="O98" s="463"/>
      <c r="P98" s="458"/>
    </row>
    <row r="99" spans="2:16" ht="28.5" hidden="1" customHeight="1" thickBot="1" x14ac:dyDescent="0.35">
      <c r="B99" s="513"/>
      <c r="C99" s="467"/>
      <c r="D99" s="314"/>
      <c r="E99" s="280"/>
      <c r="F99" s="323"/>
      <c r="G99" s="138">
        <v>6</v>
      </c>
      <c r="H99" s="138"/>
      <c r="I99" s="342"/>
      <c r="J99" s="323"/>
      <c r="K99" s="304"/>
      <c r="L99" s="413"/>
      <c r="M99" s="460"/>
      <c r="N99" s="462"/>
      <c r="O99" s="463"/>
      <c r="P99" s="458"/>
    </row>
    <row r="100" spans="2:16" ht="28.5" hidden="1" customHeight="1" thickBot="1" x14ac:dyDescent="0.35">
      <c r="B100" s="513"/>
      <c r="C100" s="467"/>
      <c r="D100" s="314"/>
      <c r="E100" s="280"/>
      <c r="F100" s="323"/>
      <c r="G100" s="138">
        <v>7</v>
      </c>
      <c r="H100" s="138"/>
      <c r="I100" s="342"/>
      <c r="J100" s="323"/>
      <c r="K100" s="304"/>
      <c r="L100" s="413"/>
      <c r="M100" s="460"/>
      <c r="N100" s="462"/>
      <c r="O100" s="463"/>
      <c r="P100" s="458"/>
    </row>
    <row r="101" spans="2:16" ht="28.5" hidden="1" customHeight="1" thickBot="1" x14ac:dyDescent="0.35">
      <c r="B101" s="514"/>
      <c r="C101" s="468"/>
      <c r="D101" s="315"/>
      <c r="E101" s="281"/>
      <c r="F101" s="324"/>
      <c r="G101" s="140">
        <v>8</v>
      </c>
      <c r="H101" s="140"/>
      <c r="I101" s="343"/>
      <c r="J101" s="324"/>
      <c r="K101" s="305"/>
      <c r="L101" s="413"/>
      <c r="M101" s="460"/>
      <c r="N101" s="462"/>
      <c r="O101" s="463"/>
      <c r="P101" s="458"/>
    </row>
    <row r="102" spans="2:16" ht="28.5" customHeight="1" x14ac:dyDescent="0.3">
      <c r="B102" s="512" t="str">
        <f>+LEFT(C102,3)</f>
        <v>8.3</v>
      </c>
      <c r="C102" s="466" t="s">
        <v>196</v>
      </c>
      <c r="D102" s="313" t="s">
        <v>197</v>
      </c>
      <c r="E102" s="279" t="s">
        <v>571</v>
      </c>
      <c r="F102" s="322">
        <v>3</v>
      </c>
      <c r="G102" s="141">
        <v>1</v>
      </c>
      <c r="H102" s="279" t="s">
        <v>607</v>
      </c>
      <c r="I102" s="279" t="s">
        <v>572</v>
      </c>
      <c r="J102" s="322">
        <v>2</v>
      </c>
      <c r="K102" s="394" t="str">
        <f t="shared" si="9"/>
        <v>Deficiencia de control (diseño o ejecución)</v>
      </c>
      <c r="L102" s="413">
        <f t="shared" si="10"/>
        <v>100</v>
      </c>
      <c r="M102" s="460">
        <v>2.7456</v>
      </c>
      <c r="N102" s="462">
        <f t="shared" si="11"/>
        <v>102.7456</v>
      </c>
      <c r="O102" s="463"/>
      <c r="P102" s="458"/>
    </row>
    <row r="103" spans="2:16" ht="28.5" customHeight="1" x14ac:dyDescent="0.3">
      <c r="B103" s="513"/>
      <c r="C103" s="467"/>
      <c r="D103" s="314"/>
      <c r="E103" s="280"/>
      <c r="F103" s="323"/>
      <c r="G103" s="138">
        <v>2</v>
      </c>
      <c r="H103" s="280"/>
      <c r="I103" s="280"/>
      <c r="J103" s="323"/>
      <c r="K103" s="304"/>
      <c r="L103" s="413"/>
      <c r="M103" s="460"/>
      <c r="N103" s="462"/>
      <c r="O103" s="463"/>
      <c r="P103" s="458"/>
    </row>
    <row r="104" spans="2:16" ht="28.5" customHeight="1" x14ac:dyDescent="0.3">
      <c r="B104" s="513"/>
      <c r="C104" s="467"/>
      <c r="D104" s="314"/>
      <c r="E104" s="280"/>
      <c r="F104" s="323"/>
      <c r="G104" s="138">
        <v>3</v>
      </c>
      <c r="H104" s="280"/>
      <c r="I104" s="280"/>
      <c r="J104" s="323"/>
      <c r="K104" s="304"/>
      <c r="L104" s="413"/>
      <c r="M104" s="460"/>
      <c r="N104" s="462"/>
      <c r="O104" s="463"/>
      <c r="P104" s="458"/>
    </row>
    <row r="105" spans="2:16" ht="28.5" customHeight="1" x14ac:dyDescent="0.3">
      <c r="B105" s="513"/>
      <c r="C105" s="467"/>
      <c r="D105" s="314"/>
      <c r="E105" s="280"/>
      <c r="F105" s="323"/>
      <c r="G105" s="138">
        <v>4</v>
      </c>
      <c r="H105" s="280"/>
      <c r="I105" s="280"/>
      <c r="J105" s="323"/>
      <c r="K105" s="304"/>
      <c r="L105" s="413"/>
      <c r="M105" s="460"/>
      <c r="N105" s="462"/>
      <c r="O105" s="463"/>
      <c r="P105" s="458"/>
    </row>
    <row r="106" spans="2:16" ht="8.25" customHeight="1" thickBot="1" x14ac:dyDescent="0.35">
      <c r="B106" s="513"/>
      <c r="C106" s="467"/>
      <c r="D106" s="314"/>
      <c r="E106" s="280"/>
      <c r="F106" s="323"/>
      <c r="G106" s="138">
        <v>5</v>
      </c>
      <c r="H106" s="280"/>
      <c r="I106" s="280"/>
      <c r="J106" s="323"/>
      <c r="K106" s="304"/>
      <c r="L106" s="413"/>
      <c r="M106" s="460"/>
      <c r="N106" s="462"/>
      <c r="O106" s="463"/>
      <c r="P106" s="458"/>
    </row>
    <row r="107" spans="2:16" ht="1.5" hidden="1" customHeight="1" thickBot="1" x14ac:dyDescent="0.35">
      <c r="B107" s="513"/>
      <c r="C107" s="467"/>
      <c r="D107" s="314"/>
      <c r="E107" s="280"/>
      <c r="F107" s="323"/>
      <c r="G107" s="138">
        <v>6</v>
      </c>
      <c r="H107" s="280"/>
      <c r="I107" s="280"/>
      <c r="J107" s="323"/>
      <c r="K107" s="304"/>
      <c r="L107" s="413"/>
      <c r="M107" s="460"/>
      <c r="N107" s="462"/>
      <c r="O107" s="463"/>
      <c r="P107" s="458"/>
    </row>
    <row r="108" spans="2:16" ht="28.5" hidden="1" customHeight="1" thickBot="1" x14ac:dyDescent="0.35">
      <c r="B108" s="513"/>
      <c r="C108" s="467"/>
      <c r="D108" s="314"/>
      <c r="E108" s="280"/>
      <c r="F108" s="323"/>
      <c r="G108" s="138">
        <v>7</v>
      </c>
      <c r="H108" s="280"/>
      <c r="I108" s="280"/>
      <c r="J108" s="323"/>
      <c r="K108" s="304"/>
      <c r="L108" s="413"/>
      <c r="M108" s="460"/>
      <c r="N108" s="462"/>
      <c r="O108" s="463"/>
      <c r="P108" s="458"/>
    </row>
    <row r="109" spans="2:16" ht="28.5" hidden="1" customHeight="1" thickBot="1" x14ac:dyDescent="0.35">
      <c r="B109" s="514"/>
      <c r="C109" s="468"/>
      <c r="D109" s="315"/>
      <c r="E109" s="281"/>
      <c r="F109" s="324"/>
      <c r="G109" s="140">
        <v>8</v>
      </c>
      <c r="H109" s="281"/>
      <c r="I109" s="281"/>
      <c r="J109" s="324"/>
      <c r="K109" s="305"/>
      <c r="L109" s="413"/>
      <c r="M109" s="460"/>
      <c r="N109" s="462"/>
      <c r="O109" s="463"/>
      <c r="P109" s="458"/>
    </row>
    <row r="110" spans="2:16" ht="30" customHeight="1" x14ac:dyDescent="0.3">
      <c r="B110" s="512" t="str">
        <f>+LEFT(C110,3)</f>
        <v>8.4</v>
      </c>
      <c r="C110" s="466" t="s">
        <v>198</v>
      </c>
      <c r="D110" s="313" t="s">
        <v>195</v>
      </c>
      <c r="E110" s="279" t="s">
        <v>573</v>
      </c>
      <c r="F110" s="322">
        <v>3</v>
      </c>
      <c r="G110" s="141">
        <v>1</v>
      </c>
      <c r="H110" s="285" t="s">
        <v>574</v>
      </c>
      <c r="I110" s="285" t="s">
        <v>608</v>
      </c>
      <c r="J110" s="322">
        <v>2</v>
      </c>
      <c r="K110" s="394" t="str">
        <f t="shared" si="9"/>
        <v>Deficiencia de control (diseño o ejecución)</v>
      </c>
      <c r="L110" s="413">
        <f t="shared" si="10"/>
        <v>100</v>
      </c>
      <c r="M110" s="460">
        <v>2.8744999999999998</v>
      </c>
      <c r="N110" s="462">
        <f t="shared" si="11"/>
        <v>102.8745</v>
      </c>
      <c r="O110" s="463"/>
      <c r="P110" s="458"/>
    </row>
    <row r="111" spans="2:16" ht="30" customHeight="1" x14ac:dyDescent="0.3">
      <c r="B111" s="513"/>
      <c r="C111" s="467"/>
      <c r="D111" s="314"/>
      <c r="E111" s="280"/>
      <c r="F111" s="323"/>
      <c r="G111" s="138">
        <v>2</v>
      </c>
      <c r="H111" s="443"/>
      <c r="I111" s="342"/>
      <c r="J111" s="323"/>
      <c r="K111" s="304"/>
      <c r="L111" s="413"/>
      <c r="M111" s="460"/>
      <c r="N111" s="462"/>
      <c r="O111" s="463"/>
      <c r="P111" s="458"/>
    </row>
    <row r="112" spans="2:16" ht="30" customHeight="1" x14ac:dyDescent="0.3">
      <c r="B112" s="513"/>
      <c r="C112" s="467"/>
      <c r="D112" s="314"/>
      <c r="E112" s="280"/>
      <c r="F112" s="323"/>
      <c r="G112" s="138">
        <v>3</v>
      </c>
      <c r="H112" s="443"/>
      <c r="I112" s="342"/>
      <c r="J112" s="323"/>
      <c r="K112" s="304"/>
      <c r="L112" s="413"/>
      <c r="M112" s="460"/>
      <c r="N112" s="462"/>
      <c r="O112" s="463"/>
      <c r="P112" s="458"/>
    </row>
    <row r="113" spans="2:16" ht="18.75" customHeight="1" x14ac:dyDescent="0.3">
      <c r="B113" s="513"/>
      <c r="C113" s="467"/>
      <c r="D113" s="314"/>
      <c r="E113" s="280"/>
      <c r="F113" s="323"/>
      <c r="G113" s="138">
        <v>4</v>
      </c>
      <c r="H113" s="443"/>
      <c r="I113" s="342"/>
      <c r="J113" s="323"/>
      <c r="K113" s="304"/>
      <c r="L113" s="413"/>
      <c r="M113" s="460"/>
      <c r="N113" s="462"/>
      <c r="O113" s="463"/>
      <c r="P113" s="458"/>
    </row>
    <row r="114" spans="2:16" ht="12" hidden="1" customHeight="1" x14ac:dyDescent="0.3">
      <c r="B114" s="513"/>
      <c r="C114" s="467"/>
      <c r="D114" s="314"/>
      <c r="E114" s="280"/>
      <c r="F114" s="323"/>
      <c r="G114" s="138">
        <v>5</v>
      </c>
      <c r="H114" s="443"/>
      <c r="I114" s="342"/>
      <c r="J114" s="323"/>
      <c r="K114" s="304"/>
      <c r="L114" s="413"/>
      <c r="M114" s="460"/>
      <c r="N114" s="462"/>
      <c r="O114" s="463"/>
      <c r="P114" s="458"/>
    </row>
    <row r="115" spans="2:16" ht="30" hidden="1" customHeight="1" x14ac:dyDescent="0.3">
      <c r="B115" s="513"/>
      <c r="C115" s="467"/>
      <c r="D115" s="314"/>
      <c r="E115" s="280"/>
      <c r="F115" s="323"/>
      <c r="G115" s="138">
        <v>6</v>
      </c>
      <c r="H115" s="450"/>
      <c r="I115" s="342"/>
      <c r="J115" s="323"/>
      <c r="K115" s="304"/>
      <c r="L115" s="413"/>
      <c r="M115" s="460"/>
      <c r="N115" s="462"/>
      <c r="O115" s="463"/>
      <c r="P115" s="458"/>
    </row>
    <row r="116" spans="2:16" ht="30" hidden="1" customHeight="1" x14ac:dyDescent="0.3">
      <c r="B116" s="513"/>
      <c r="C116" s="467"/>
      <c r="D116" s="314"/>
      <c r="E116" s="280"/>
      <c r="F116" s="323"/>
      <c r="G116" s="138">
        <v>7</v>
      </c>
      <c r="H116" s="443"/>
      <c r="I116" s="342"/>
      <c r="J116" s="323"/>
      <c r="K116" s="304"/>
      <c r="L116" s="413"/>
      <c r="M116" s="460"/>
      <c r="N116" s="462"/>
      <c r="O116" s="463"/>
      <c r="P116" s="458"/>
    </row>
    <row r="117" spans="2:16" ht="30" hidden="1" customHeight="1" thickBot="1" x14ac:dyDescent="0.35">
      <c r="B117" s="514"/>
      <c r="C117" s="468"/>
      <c r="D117" s="315"/>
      <c r="E117" s="281"/>
      <c r="F117" s="324"/>
      <c r="G117" s="140">
        <v>8</v>
      </c>
      <c r="H117" s="443"/>
      <c r="I117" s="343"/>
      <c r="J117" s="324"/>
      <c r="K117" s="305"/>
      <c r="L117" s="413"/>
      <c r="M117" s="460"/>
      <c r="N117" s="462"/>
      <c r="O117" s="463"/>
      <c r="P117" s="458"/>
    </row>
    <row r="118" spans="2:16" ht="22.5" customHeight="1" x14ac:dyDescent="0.3">
      <c r="B118" s="484"/>
      <c r="C118" s="484" t="s">
        <v>199</v>
      </c>
      <c r="D118" s="489" t="s">
        <v>8</v>
      </c>
      <c r="E118" s="451" t="s">
        <v>174</v>
      </c>
      <c r="F118" s="469" t="s">
        <v>175</v>
      </c>
      <c r="G118" s="492" t="s">
        <v>115</v>
      </c>
      <c r="H118" s="493"/>
      <c r="I118" s="493"/>
      <c r="J118" s="469" t="s">
        <v>176</v>
      </c>
      <c r="K118" s="505" t="s">
        <v>135</v>
      </c>
      <c r="L118" s="464"/>
      <c r="M118" s="464"/>
      <c r="N118" s="516"/>
      <c r="O118" s="461"/>
      <c r="P118" s="459"/>
    </row>
    <row r="119" spans="2:16" ht="22.5" customHeight="1" x14ac:dyDescent="0.3">
      <c r="B119" s="484"/>
      <c r="C119" s="484"/>
      <c r="D119" s="490"/>
      <c r="E119" s="475"/>
      <c r="F119" s="469"/>
      <c r="G119" s="477" t="s">
        <v>13</v>
      </c>
      <c r="H119" s="451" t="s">
        <v>15</v>
      </c>
      <c r="I119" s="451" t="s">
        <v>17</v>
      </c>
      <c r="J119" s="469"/>
      <c r="K119" s="505"/>
      <c r="L119" s="464"/>
      <c r="M119" s="464"/>
      <c r="N119" s="516"/>
      <c r="O119" s="461"/>
      <c r="P119" s="459"/>
    </row>
    <row r="120" spans="2:16" ht="78.75" customHeight="1" thickBot="1" x14ac:dyDescent="0.35">
      <c r="B120" s="485"/>
      <c r="C120" s="485"/>
      <c r="D120" s="491"/>
      <c r="E120" s="476"/>
      <c r="F120" s="470"/>
      <c r="G120" s="478"/>
      <c r="H120" s="452"/>
      <c r="I120" s="452"/>
      <c r="J120" s="470"/>
      <c r="K120" s="506"/>
      <c r="L120" s="464"/>
      <c r="M120" s="464"/>
      <c r="N120" s="516"/>
      <c r="O120" s="461"/>
      <c r="P120" s="459"/>
    </row>
    <row r="121" spans="2:16" ht="16.5" x14ac:dyDescent="0.3">
      <c r="B121" s="512" t="str">
        <f>+LEFT(C121,3)</f>
        <v>9.1</v>
      </c>
      <c r="C121" s="466" t="s">
        <v>200</v>
      </c>
      <c r="D121" s="313" t="s">
        <v>201</v>
      </c>
      <c r="E121" s="433" t="s">
        <v>575</v>
      </c>
      <c r="F121" s="322">
        <v>3</v>
      </c>
      <c r="G121" s="141">
        <v>1</v>
      </c>
      <c r="H121" s="285" t="s">
        <v>576</v>
      </c>
      <c r="I121" s="285" t="s">
        <v>577</v>
      </c>
      <c r="J121" s="322">
        <v>2</v>
      </c>
      <c r="K121" s="394" t="str">
        <f t="shared" ref="K121:K153" si="12">+IF(OR(ISBLANK(F121),ISBLANK(J121)),"",IF(OR(AND(F121=1,J121=1),AND(F121=1,J121=2),AND(F121=1,J121=3)),"Deficiencia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Deficiencia de control (diseño o ejecución)</v>
      </c>
      <c r="L121" s="413">
        <f t="shared" ref="L121:L153" si="13">+IF(K121="",75,IF(K121="Deficiencia de control mayor (diseño y ejecución)",80,IF(K121="Deficiencia de control (diseño o ejecución)",100,IF(K121="Oportunidad de mejora",120,140))))</f>
        <v>100</v>
      </c>
      <c r="M121" s="460">
        <v>2.9634999999999998</v>
      </c>
      <c r="N121" s="462">
        <f t="shared" ref="N121:N153" si="14">+L121+M121</f>
        <v>102.9635</v>
      </c>
      <c r="O121" s="463"/>
      <c r="P121" s="458"/>
    </row>
    <row r="122" spans="2:16" ht="16.5" x14ac:dyDescent="0.3">
      <c r="B122" s="513"/>
      <c r="C122" s="467"/>
      <c r="D122" s="314"/>
      <c r="E122" s="425"/>
      <c r="F122" s="323"/>
      <c r="G122" s="138">
        <v>2</v>
      </c>
      <c r="H122" s="443"/>
      <c r="I122" s="443"/>
      <c r="J122" s="323"/>
      <c r="K122" s="304"/>
      <c r="L122" s="413"/>
      <c r="M122" s="460"/>
      <c r="N122" s="462"/>
      <c r="O122" s="463"/>
      <c r="P122" s="458"/>
    </row>
    <row r="123" spans="2:16" ht="16.5" customHeight="1" x14ac:dyDescent="0.3">
      <c r="B123" s="513"/>
      <c r="C123" s="467"/>
      <c r="D123" s="314"/>
      <c r="E123" s="425"/>
      <c r="F123" s="323"/>
      <c r="G123" s="138">
        <v>3</v>
      </c>
      <c r="H123" s="443"/>
      <c r="I123" s="443"/>
      <c r="J123" s="323"/>
      <c r="K123" s="304"/>
      <c r="L123" s="413"/>
      <c r="M123" s="460"/>
      <c r="N123" s="462"/>
      <c r="O123" s="463"/>
      <c r="P123" s="458"/>
    </row>
    <row r="124" spans="2:16" ht="16.5" x14ac:dyDescent="0.3">
      <c r="B124" s="513"/>
      <c r="C124" s="467"/>
      <c r="D124" s="314"/>
      <c r="E124" s="425"/>
      <c r="F124" s="323"/>
      <c r="G124" s="138">
        <v>4</v>
      </c>
      <c r="H124" s="443"/>
      <c r="I124" s="443"/>
      <c r="J124" s="323"/>
      <c r="K124" s="304"/>
      <c r="L124" s="413"/>
      <c r="M124" s="460"/>
      <c r="N124" s="462"/>
      <c r="O124" s="463"/>
      <c r="P124" s="458"/>
    </row>
    <row r="125" spans="2:16" ht="16.5" x14ac:dyDescent="0.3">
      <c r="B125" s="513"/>
      <c r="C125" s="467"/>
      <c r="D125" s="314"/>
      <c r="E125" s="425"/>
      <c r="F125" s="323"/>
      <c r="G125" s="138">
        <v>5</v>
      </c>
      <c r="H125" s="443"/>
      <c r="I125" s="443"/>
      <c r="J125" s="323"/>
      <c r="K125" s="304"/>
      <c r="L125" s="413"/>
      <c r="M125" s="460"/>
      <c r="N125" s="462"/>
      <c r="O125" s="463"/>
      <c r="P125" s="458"/>
    </row>
    <row r="126" spans="2:16" ht="16.5" x14ac:dyDescent="0.3">
      <c r="B126" s="513"/>
      <c r="C126" s="467"/>
      <c r="D126" s="314"/>
      <c r="E126" s="425"/>
      <c r="F126" s="323"/>
      <c r="G126" s="138">
        <v>6</v>
      </c>
      <c r="H126" s="443"/>
      <c r="I126" s="443"/>
      <c r="J126" s="323"/>
      <c r="K126" s="304"/>
      <c r="L126" s="413"/>
      <c r="M126" s="460"/>
      <c r="N126" s="462"/>
      <c r="O126" s="463"/>
      <c r="P126" s="458"/>
    </row>
    <row r="127" spans="2:16" ht="12" customHeight="1" thickBot="1" x14ac:dyDescent="0.35">
      <c r="B127" s="513"/>
      <c r="C127" s="467"/>
      <c r="D127" s="314"/>
      <c r="E127" s="425"/>
      <c r="F127" s="323"/>
      <c r="G127" s="138">
        <v>7</v>
      </c>
      <c r="H127" s="443"/>
      <c r="I127" s="443"/>
      <c r="J127" s="323"/>
      <c r="K127" s="304"/>
      <c r="L127" s="413"/>
      <c r="M127" s="460"/>
      <c r="N127" s="462"/>
      <c r="O127" s="463"/>
      <c r="P127" s="458"/>
    </row>
    <row r="128" spans="2:16" ht="17.25" hidden="1" customHeight="1" thickBot="1" x14ac:dyDescent="0.35">
      <c r="B128" s="514"/>
      <c r="C128" s="468"/>
      <c r="D128" s="315"/>
      <c r="E128" s="426"/>
      <c r="F128" s="324"/>
      <c r="G128" s="140">
        <v>8</v>
      </c>
      <c r="H128" s="457"/>
      <c r="I128" s="457"/>
      <c r="J128" s="324"/>
      <c r="K128" s="305"/>
      <c r="L128" s="413"/>
      <c r="M128" s="460"/>
      <c r="N128" s="462"/>
      <c r="O128" s="463"/>
      <c r="P128" s="458"/>
    </row>
    <row r="129" spans="2:16" ht="22.5" customHeight="1" x14ac:dyDescent="0.3">
      <c r="B129" s="512" t="str">
        <f>+LEFT(C129,3)</f>
        <v>9.2</v>
      </c>
      <c r="C129" s="471" t="s">
        <v>202</v>
      </c>
      <c r="D129" s="313" t="s">
        <v>203</v>
      </c>
      <c r="E129" s="433" t="s">
        <v>513</v>
      </c>
      <c r="F129" s="322">
        <v>3</v>
      </c>
      <c r="G129" s="141">
        <v>1</v>
      </c>
      <c r="H129" s="444"/>
      <c r="I129" s="444"/>
      <c r="J129" s="322">
        <v>1</v>
      </c>
      <c r="K129" s="394" t="str">
        <f t="shared" si="12"/>
        <v>Deficiencia de control (diseño o ejecución)</v>
      </c>
      <c r="L129" s="413">
        <f t="shared" si="13"/>
        <v>100</v>
      </c>
      <c r="M129" s="460">
        <v>3.0125000000000002</v>
      </c>
      <c r="N129" s="462">
        <f t="shared" si="14"/>
        <v>103.0125</v>
      </c>
      <c r="O129" s="463"/>
      <c r="P129" s="458"/>
    </row>
    <row r="130" spans="2:16" ht="22.5" customHeight="1" x14ac:dyDescent="0.3">
      <c r="B130" s="513"/>
      <c r="C130" s="472"/>
      <c r="D130" s="314"/>
      <c r="E130" s="498"/>
      <c r="F130" s="323"/>
      <c r="G130" s="138">
        <v>2</v>
      </c>
      <c r="H130" s="445"/>
      <c r="I130" s="445"/>
      <c r="J130" s="323"/>
      <c r="K130" s="304"/>
      <c r="L130" s="413"/>
      <c r="M130" s="460"/>
      <c r="N130" s="462"/>
      <c r="O130" s="463"/>
      <c r="P130" s="458"/>
    </row>
    <row r="131" spans="2:16" ht="22.5" customHeight="1" x14ac:dyDescent="0.3">
      <c r="B131" s="513"/>
      <c r="C131" s="472"/>
      <c r="D131" s="314"/>
      <c r="E131" s="498"/>
      <c r="F131" s="323"/>
      <c r="G131" s="138">
        <v>3</v>
      </c>
      <c r="H131" s="445"/>
      <c r="I131" s="445"/>
      <c r="J131" s="323"/>
      <c r="K131" s="304"/>
      <c r="L131" s="413"/>
      <c r="M131" s="460"/>
      <c r="N131" s="462"/>
      <c r="O131" s="463"/>
      <c r="P131" s="458"/>
    </row>
    <row r="132" spans="2:16" ht="22.5" customHeight="1" x14ac:dyDescent="0.3">
      <c r="B132" s="513"/>
      <c r="C132" s="472"/>
      <c r="D132" s="314"/>
      <c r="E132" s="498"/>
      <c r="F132" s="323"/>
      <c r="G132" s="138">
        <v>4</v>
      </c>
      <c r="H132" s="445"/>
      <c r="I132" s="445"/>
      <c r="J132" s="323"/>
      <c r="K132" s="304"/>
      <c r="L132" s="413"/>
      <c r="M132" s="460"/>
      <c r="N132" s="462"/>
      <c r="O132" s="463"/>
      <c r="P132" s="458"/>
    </row>
    <row r="133" spans="2:16" ht="22.5" customHeight="1" x14ac:dyDescent="0.3">
      <c r="B133" s="513"/>
      <c r="C133" s="472"/>
      <c r="D133" s="314"/>
      <c r="E133" s="498"/>
      <c r="F133" s="323"/>
      <c r="G133" s="138">
        <v>5</v>
      </c>
      <c r="H133" s="445"/>
      <c r="I133" s="445"/>
      <c r="J133" s="323"/>
      <c r="K133" s="304"/>
      <c r="L133" s="413"/>
      <c r="M133" s="460"/>
      <c r="N133" s="462"/>
      <c r="O133" s="463"/>
      <c r="P133" s="458"/>
    </row>
    <row r="134" spans="2:16" ht="12" customHeight="1" thickBot="1" x14ac:dyDescent="0.35">
      <c r="B134" s="513"/>
      <c r="C134" s="472"/>
      <c r="D134" s="314"/>
      <c r="E134" s="498"/>
      <c r="F134" s="323"/>
      <c r="G134" s="138">
        <v>6</v>
      </c>
      <c r="H134" s="445"/>
      <c r="I134" s="445"/>
      <c r="J134" s="323"/>
      <c r="K134" s="304"/>
      <c r="L134" s="413"/>
      <c r="M134" s="460"/>
      <c r="N134" s="462"/>
      <c r="O134" s="463"/>
      <c r="P134" s="458"/>
    </row>
    <row r="135" spans="2:16" ht="22.5" hidden="1" customHeight="1" thickBot="1" x14ac:dyDescent="0.35">
      <c r="B135" s="513"/>
      <c r="C135" s="472"/>
      <c r="D135" s="314"/>
      <c r="E135" s="498"/>
      <c r="F135" s="323"/>
      <c r="G135" s="138">
        <v>7</v>
      </c>
      <c r="H135" s="445"/>
      <c r="I135" s="445"/>
      <c r="J135" s="323"/>
      <c r="K135" s="304"/>
      <c r="L135" s="413"/>
      <c r="M135" s="460"/>
      <c r="N135" s="462"/>
      <c r="O135" s="463"/>
      <c r="P135" s="458"/>
    </row>
    <row r="136" spans="2:16" ht="30.75" hidden="1" customHeight="1" thickBot="1" x14ac:dyDescent="0.35">
      <c r="B136" s="514"/>
      <c r="C136" s="473"/>
      <c r="D136" s="315"/>
      <c r="E136" s="499"/>
      <c r="F136" s="324"/>
      <c r="G136" s="140">
        <v>8</v>
      </c>
      <c r="H136" s="446"/>
      <c r="I136" s="446"/>
      <c r="J136" s="324"/>
      <c r="K136" s="305"/>
      <c r="L136" s="413"/>
      <c r="M136" s="460"/>
      <c r="N136" s="462"/>
      <c r="O136" s="463"/>
      <c r="P136" s="458"/>
    </row>
    <row r="137" spans="2:16" ht="22.5" customHeight="1" x14ac:dyDescent="0.3">
      <c r="B137" s="512" t="str">
        <f>+LEFT(C137,3)</f>
        <v>9.3</v>
      </c>
      <c r="C137" s="471" t="s">
        <v>204</v>
      </c>
      <c r="D137" s="474" t="s">
        <v>195</v>
      </c>
      <c r="E137" s="497" t="s">
        <v>578</v>
      </c>
      <c r="F137" s="322">
        <v>1</v>
      </c>
      <c r="G137" s="141">
        <v>1</v>
      </c>
      <c r="H137" s="444"/>
      <c r="I137" s="444"/>
      <c r="J137" s="322">
        <v>1</v>
      </c>
      <c r="K137" s="394" t="str">
        <f t="shared" si="12"/>
        <v>Deficiencia de control mayor (diseño y ejecución)</v>
      </c>
      <c r="L137" s="413">
        <f t="shared" si="13"/>
        <v>80</v>
      </c>
      <c r="M137" s="460">
        <v>3.1236000000000002</v>
      </c>
      <c r="N137" s="462">
        <f t="shared" si="14"/>
        <v>83.123599999999996</v>
      </c>
      <c r="O137" s="463"/>
      <c r="P137" s="458"/>
    </row>
    <row r="138" spans="2:16" ht="22.5" customHeight="1" x14ac:dyDescent="0.3">
      <c r="B138" s="513"/>
      <c r="C138" s="472"/>
      <c r="D138" s="314"/>
      <c r="E138" s="323"/>
      <c r="F138" s="323"/>
      <c r="G138" s="138">
        <v>2</v>
      </c>
      <c r="H138" s="445"/>
      <c r="I138" s="445"/>
      <c r="J138" s="323"/>
      <c r="K138" s="304"/>
      <c r="L138" s="413"/>
      <c r="M138" s="460"/>
      <c r="N138" s="462"/>
      <c r="O138" s="463"/>
      <c r="P138" s="458"/>
    </row>
    <row r="139" spans="2:16" ht="22.5" customHeight="1" x14ac:dyDescent="0.3">
      <c r="B139" s="513"/>
      <c r="C139" s="472"/>
      <c r="D139" s="314"/>
      <c r="E139" s="323"/>
      <c r="F139" s="323"/>
      <c r="G139" s="138">
        <v>3</v>
      </c>
      <c r="H139" s="445"/>
      <c r="I139" s="445"/>
      <c r="J139" s="323"/>
      <c r="K139" s="304"/>
      <c r="L139" s="413"/>
      <c r="M139" s="460"/>
      <c r="N139" s="462"/>
      <c r="O139" s="463"/>
      <c r="P139" s="458"/>
    </row>
    <row r="140" spans="2:16" ht="8.25" customHeight="1" thickBot="1" x14ac:dyDescent="0.35">
      <c r="B140" s="513"/>
      <c r="C140" s="472"/>
      <c r="D140" s="314"/>
      <c r="E140" s="323"/>
      <c r="F140" s="323"/>
      <c r="G140" s="138">
        <v>4</v>
      </c>
      <c r="H140" s="445"/>
      <c r="I140" s="445"/>
      <c r="J140" s="323"/>
      <c r="K140" s="304"/>
      <c r="L140" s="413"/>
      <c r="M140" s="460"/>
      <c r="N140" s="462"/>
      <c r="O140" s="463"/>
      <c r="P140" s="458"/>
    </row>
    <row r="141" spans="2:16" ht="15" hidden="1" customHeight="1" thickBot="1" x14ac:dyDescent="0.35">
      <c r="B141" s="513"/>
      <c r="C141" s="472"/>
      <c r="D141" s="314"/>
      <c r="E141" s="323"/>
      <c r="F141" s="323"/>
      <c r="G141" s="138">
        <v>5</v>
      </c>
      <c r="H141" s="445"/>
      <c r="I141" s="445"/>
      <c r="J141" s="323"/>
      <c r="K141" s="304"/>
      <c r="L141" s="413"/>
      <c r="M141" s="460"/>
      <c r="N141" s="462"/>
      <c r="O141" s="463"/>
      <c r="P141" s="458"/>
    </row>
    <row r="142" spans="2:16" ht="22.5" hidden="1" customHeight="1" thickBot="1" x14ac:dyDescent="0.35">
      <c r="B142" s="513"/>
      <c r="C142" s="472"/>
      <c r="D142" s="314"/>
      <c r="E142" s="323"/>
      <c r="F142" s="323"/>
      <c r="G142" s="138">
        <v>6</v>
      </c>
      <c r="H142" s="445"/>
      <c r="I142" s="445"/>
      <c r="J142" s="323"/>
      <c r="K142" s="304"/>
      <c r="L142" s="413"/>
      <c r="M142" s="460"/>
      <c r="N142" s="462"/>
      <c r="O142" s="463"/>
      <c r="P142" s="458"/>
    </row>
    <row r="143" spans="2:16" ht="22.5" hidden="1" customHeight="1" thickBot="1" x14ac:dyDescent="0.35">
      <c r="B143" s="513"/>
      <c r="C143" s="472"/>
      <c r="D143" s="314"/>
      <c r="E143" s="323"/>
      <c r="F143" s="323"/>
      <c r="G143" s="138">
        <v>7</v>
      </c>
      <c r="H143" s="445"/>
      <c r="I143" s="445"/>
      <c r="J143" s="323"/>
      <c r="K143" s="304"/>
      <c r="L143" s="413"/>
      <c r="M143" s="460"/>
      <c r="N143" s="462"/>
      <c r="O143" s="463"/>
      <c r="P143" s="458"/>
    </row>
    <row r="144" spans="2:16" ht="22.5" hidden="1" customHeight="1" thickBot="1" x14ac:dyDescent="0.35">
      <c r="B144" s="514"/>
      <c r="C144" s="473"/>
      <c r="D144" s="315"/>
      <c r="E144" s="324"/>
      <c r="F144" s="324"/>
      <c r="G144" s="140">
        <v>8</v>
      </c>
      <c r="H144" s="446"/>
      <c r="I144" s="446"/>
      <c r="J144" s="324"/>
      <c r="K144" s="305"/>
      <c r="L144" s="413"/>
      <c r="M144" s="460"/>
      <c r="N144" s="462"/>
      <c r="O144" s="463"/>
      <c r="P144" s="458"/>
    </row>
    <row r="145" spans="2:16" ht="22.5" customHeight="1" x14ac:dyDescent="0.3">
      <c r="B145" s="512" t="str">
        <f>+LEFT(C145,3)</f>
        <v>9.4</v>
      </c>
      <c r="C145" s="471" t="s">
        <v>205</v>
      </c>
      <c r="D145" s="474" t="s">
        <v>203</v>
      </c>
      <c r="E145" s="279" t="s">
        <v>579</v>
      </c>
      <c r="F145" s="322">
        <v>1</v>
      </c>
      <c r="G145" s="141">
        <v>1</v>
      </c>
      <c r="H145" s="444"/>
      <c r="I145" s="447" t="s">
        <v>609</v>
      </c>
      <c r="J145" s="322">
        <v>1</v>
      </c>
      <c r="K145" s="394" t="str">
        <f t="shared" si="12"/>
        <v>Deficiencia de control mayor (diseño y ejecución)</v>
      </c>
      <c r="L145" s="413">
        <f t="shared" si="13"/>
        <v>80</v>
      </c>
      <c r="M145" s="460">
        <v>3.2456</v>
      </c>
      <c r="N145" s="462">
        <f t="shared" si="14"/>
        <v>83.245599999999996</v>
      </c>
      <c r="O145" s="463"/>
      <c r="P145" s="458"/>
    </row>
    <row r="146" spans="2:16" ht="22.5" customHeight="1" x14ac:dyDescent="0.3">
      <c r="B146" s="513"/>
      <c r="C146" s="472"/>
      <c r="D146" s="314"/>
      <c r="E146" s="280"/>
      <c r="F146" s="323"/>
      <c r="G146" s="138">
        <v>2</v>
      </c>
      <c r="H146" s="445"/>
      <c r="I146" s="448"/>
      <c r="J146" s="323"/>
      <c r="K146" s="304"/>
      <c r="L146" s="413"/>
      <c r="M146" s="460"/>
      <c r="N146" s="462"/>
      <c r="O146" s="463"/>
      <c r="P146" s="458"/>
    </row>
    <row r="147" spans="2:16" ht="22.5" customHeight="1" x14ac:dyDescent="0.3">
      <c r="B147" s="513"/>
      <c r="C147" s="472"/>
      <c r="D147" s="314"/>
      <c r="E147" s="280"/>
      <c r="F147" s="323"/>
      <c r="G147" s="138">
        <v>3</v>
      </c>
      <c r="H147" s="445"/>
      <c r="I147" s="448"/>
      <c r="J147" s="323"/>
      <c r="K147" s="304"/>
      <c r="L147" s="413"/>
      <c r="M147" s="460"/>
      <c r="N147" s="462"/>
      <c r="O147" s="463"/>
      <c r="P147" s="458"/>
    </row>
    <row r="148" spans="2:16" ht="20.25" customHeight="1" thickBot="1" x14ac:dyDescent="0.35">
      <c r="B148" s="513"/>
      <c r="C148" s="472"/>
      <c r="D148" s="314"/>
      <c r="E148" s="280"/>
      <c r="F148" s="323"/>
      <c r="G148" s="138">
        <v>4</v>
      </c>
      <c r="H148" s="445"/>
      <c r="I148" s="448"/>
      <c r="J148" s="323"/>
      <c r="K148" s="304"/>
      <c r="L148" s="413"/>
      <c r="M148" s="460"/>
      <c r="N148" s="462"/>
      <c r="O148" s="463"/>
      <c r="P148" s="458"/>
    </row>
    <row r="149" spans="2:16" ht="22.5" hidden="1" customHeight="1" thickBot="1" x14ac:dyDescent="0.35">
      <c r="B149" s="513"/>
      <c r="C149" s="472"/>
      <c r="D149" s="314"/>
      <c r="E149" s="280"/>
      <c r="F149" s="323"/>
      <c r="G149" s="138">
        <v>5</v>
      </c>
      <c r="H149" s="445"/>
      <c r="I149" s="448"/>
      <c r="J149" s="323"/>
      <c r="K149" s="304"/>
      <c r="L149" s="413"/>
      <c r="M149" s="460"/>
      <c r="N149" s="462"/>
      <c r="O149" s="463"/>
      <c r="P149" s="458"/>
    </row>
    <row r="150" spans="2:16" ht="22.5" hidden="1" customHeight="1" thickBot="1" x14ac:dyDescent="0.35">
      <c r="B150" s="513"/>
      <c r="C150" s="472"/>
      <c r="D150" s="314"/>
      <c r="E150" s="280"/>
      <c r="F150" s="323"/>
      <c r="G150" s="138">
        <v>6</v>
      </c>
      <c r="H150" s="445"/>
      <c r="I150" s="448"/>
      <c r="J150" s="323"/>
      <c r="K150" s="304"/>
      <c r="L150" s="413"/>
      <c r="M150" s="460"/>
      <c r="N150" s="462"/>
      <c r="O150" s="463"/>
      <c r="P150" s="458"/>
    </row>
    <row r="151" spans="2:16" ht="8.25" hidden="1" customHeight="1" thickBot="1" x14ac:dyDescent="0.35">
      <c r="B151" s="513"/>
      <c r="C151" s="472"/>
      <c r="D151" s="314"/>
      <c r="E151" s="280"/>
      <c r="F151" s="323"/>
      <c r="G151" s="138">
        <v>7</v>
      </c>
      <c r="H151" s="445"/>
      <c r="I151" s="448"/>
      <c r="J151" s="323"/>
      <c r="K151" s="304"/>
      <c r="L151" s="413"/>
      <c r="M151" s="460"/>
      <c r="N151" s="462"/>
      <c r="O151" s="463"/>
      <c r="P151" s="458"/>
    </row>
    <row r="152" spans="2:16" ht="22.5" hidden="1" customHeight="1" thickBot="1" x14ac:dyDescent="0.35">
      <c r="B152" s="514"/>
      <c r="C152" s="473"/>
      <c r="D152" s="315"/>
      <c r="E152" s="281"/>
      <c r="F152" s="324"/>
      <c r="G152" s="140">
        <v>8</v>
      </c>
      <c r="H152" s="446"/>
      <c r="I152" s="449"/>
      <c r="J152" s="324"/>
      <c r="K152" s="305"/>
      <c r="L152" s="413"/>
      <c r="M152" s="460"/>
      <c r="N152" s="462"/>
      <c r="O152" s="463"/>
      <c r="P152" s="458"/>
    </row>
    <row r="153" spans="2:16" ht="22.5" customHeight="1" x14ac:dyDescent="0.3">
      <c r="B153" s="512" t="str">
        <f>+LEFT(C153,3)</f>
        <v>9.5</v>
      </c>
      <c r="C153" s="471" t="s">
        <v>206</v>
      </c>
      <c r="D153" s="474" t="s">
        <v>207</v>
      </c>
      <c r="E153" s="279" t="s">
        <v>610</v>
      </c>
      <c r="F153" s="322">
        <v>1</v>
      </c>
      <c r="G153" s="141">
        <v>1</v>
      </c>
      <c r="H153" s="444"/>
      <c r="I153" s="444"/>
      <c r="J153" s="322">
        <v>1</v>
      </c>
      <c r="K153" s="394" t="str">
        <f t="shared" si="12"/>
        <v>Deficiencia de control mayor (diseño y ejecución)</v>
      </c>
      <c r="L153" s="413">
        <f t="shared" si="13"/>
        <v>80</v>
      </c>
      <c r="M153" s="460">
        <v>3.3654000000000002</v>
      </c>
      <c r="N153" s="462">
        <f t="shared" si="14"/>
        <v>83.365399999999994</v>
      </c>
      <c r="O153" s="463"/>
      <c r="P153" s="458"/>
    </row>
    <row r="154" spans="2:16" ht="22.5" customHeight="1" x14ac:dyDescent="0.3">
      <c r="B154" s="513"/>
      <c r="C154" s="472"/>
      <c r="D154" s="314"/>
      <c r="E154" s="280"/>
      <c r="F154" s="323"/>
      <c r="G154" s="138">
        <v>2</v>
      </c>
      <c r="H154" s="445"/>
      <c r="I154" s="445"/>
      <c r="J154" s="323"/>
      <c r="K154" s="304"/>
      <c r="L154" s="413"/>
      <c r="M154" s="460"/>
      <c r="N154" s="462"/>
      <c r="O154" s="463"/>
      <c r="P154" s="458"/>
    </row>
    <row r="155" spans="2:16" ht="22.5" customHeight="1" x14ac:dyDescent="0.3">
      <c r="B155" s="513"/>
      <c r="C155" s="472"/>
      <c r="D155" s="314"/>
      <c r="E155" s="280"/>
      <c r="F155" s="323"/>
      <c r="G155" s="138">
        <v>3</v>
      </c>
      <c r="H155" s="445"/>
      <c r="I155" s="445"/>
      <c r="J155" s="323"/>
      <c r="K155" s="304"/>
      <c r="L155" s="413"/>
      <c r="M155" s="460"/>
      <c r="N155" s="462"/>
      <c r="O155" s="463"/>
      <c r="P155" s="458"/>
    </row>
    <row r="156" spans="2:16" ht="22.5" customHeight="1" x14ac:dyDescent="0.3">
      <c r="B156" s="513"/>
      <c r="C156" s="472"/>
      <c r="D156" s="314"/>
      <c r="E156" s="280"/>
      <c r="F156" s="323"/>
      <c r="G156" s="138">
        <v>4</v>
      </c>
      <c r="H156" s="445"/>
      <c r="I156" s="445"/>
      <c r="J156" s="323"/>
      <c r="K156" s="304"/>
      <c r="L156" s="413"/>
      <c r="M156" s="460"/>
      <c r="N156" s="462"/>
      <c r="O156" s="463"/>
      <c r="P156" s="458"/>
    </row>
    <row r="157" spans="2:16" ht="22.5" customHeight="1" x14ac:dyDescent="0.3">
      <c r="B157" s="513"/>
      <c r="C157" s="472"/>
      <c r="D157" s="314"/>
      <c r="E157" s="280"/>
      <c r="F157" s="323"/>
      <c r="G157" s="138">
        <v>5</v>
      </c>
      <c r="H157" s="445"/>
      <c r="I157" s="445"/>
      <c r="J157" s="323"/>
      <c r="K157" s="304"/>
      <c r="L157" s="413"/>
      <c r="M157" s="460"/>
      <c r="N157" s="462"/>
      <c r="O157" s="463"/>
      <c r="P157" s="458"/>
    </row>
    <row r="158" spans="2:16" ht="13.5" customHeight="1" x14ac:dyDescent="0.3">
      <c r="B158" s="513"/>
      <c r="C158" s="472"/>
      <c r="D158" s="314"/>
      <c r="E158" s="280"/>
      <c r="F158" s="323"/>
      <c r="G158" s="138">
        <v>6</v>
      </c>
      <c r="H158" s="445"/>
      <c r="I158" s="445"/>
      <c r="J158" s="323"/>
      <c r="K158" s="304"/>
      <c r="L158" s="413"/>
      <c r="M158" s="460"/>
      <c r="N158" s="462"/>
      <c r="O158" s="463"/>
      <c r="P158" s="458"/>
    </row>
    <row r="159" spans="2:16" ht="22.5" hidden="1" customHeight="1" x14ac:dyDescent="0.3">
      <c r="B159" s="513"/>
      <c r="C159" s="472"/>
      <c r="D159" s="314"/>
      <c r="E159" s="280"/>
      <c r="F159" s="323"/>
      <c r="G159" s="138">
        <v>7</v>
      </c>
      <c r="H159" s="445"/>
      <c r="I159" s="445"/>
      <c r="J159" s="323"/>
      <c r="K159" s="304"/>
      <c r="L159" s="413"/>
      <c r="M159" s="460"/>
      <c r="N159" s="462"/>
      <c r="O159" s="463"/>
      <c r="P159" s="458"/>
    </row>
    <row r="160" spans="2:16" ht="22.5" hidden="1" customHeight="1" thickBot="1" x14ac:dyDescent="0.35">
      <c r="B160" s="514"/>
      <c r="C160" s="473"/>
      <c r="D160" s="315"/>
      <c r="E160" s="281"/>
      <c r="F160" s="324"/>
      <c r="G160" s="140">
        <v>8</v>
      </c>
      <c r="H160" s="446"/>
      <c r="I160" s="446"/>
      <c r="J160" s="324"/>
      <c r="K160" s="305"/>
      <c r="L160" s="413"/>
      <c r="M160" s="460"/>
      <c r="N160" s="462"/>
      <c r="O160" s="463"/>
      <c r="P160" s="458"/>
    </row>
  </sheetData>
  <sheetProtection password="D72A" sheet="1" objects="1" scenarios="1" formatCells="0" formatColumns="0" formatRows="0"/>
  <mergeCells count="305">
    <mergeCell ref="N137:N144"/>
    <mergeCell ref="N145:N152"/>
    <mergeCell ref="N153:N160"/>
    <mergeCell ref="N75:N82"/>
    <mergeCell ref="N83:N85"/>
    <mergeCell ref="N86:N93"/>
    <mergeCell ref="N94:N101"/>
    <mergeCell ref="N102:N109"/>
    <mergeCell ref="N110:N117"/>
    <mergeCell ref="N118:N120"/>
    <mergeCell ref="N121:N128"/>
    <mergeCell ref="N129:N136"/>
    <mergeCell ref="N13:N15"/>
    <mergeCell ref="N24:N31"/>
    <mergeCell ref="N32:N39"/>
    <mergeCell ref="N40:N42"/>
    <mergeCell ref="N43:N50"/>
    <mergeCell ref="N51:N58"/>
    <mergeCell ref="N59:N66"/>
    <mergeCell ref="N67:N74"/>
    <mergeCell ref="B137:B144"/>
    <mergeCell ref="B13:B15"/>
    <mergeCell ref="B16:B23"/>
    <mergeCell ref="B24:B31"/>
    <mergeCell ref="B32:B39"/>
    <mergeCell ref="B51:B58"/>
    <mergeCell ref="B59:B66"/>
    <mergeCell ref="B67:B74"/>
    <mergeCell ref="B40:B42"/>
    <mergeCell ref="B43:B50"/>
    <mergeCell ref="K129:K136"/>
    <mergeCell ref="K137:K144"/>
    <mergeCell ref="F13:F15"/>
    <mergeCell ref="C16:C23"/>
    <mergeCell ref="D16:D23"/>
    <mergeCell ref="F16:F23"/>
    <mergeCell ref="B145:B152"/>
    <mergeCell ref="B153:B160"/>
    <mergeCell ref="B86:B93"/>
    <mergeCell ref="B94:B101"/>
    <mergeCell ref="B121:B128"/>
    <mergeCell ref="B129:B136"/>
    <mergeCell ref="B75:B82"/>
    <mergeCell ref="B83:B85"/>
    <mergeCell ref="B102:B109"/>
    <mergeCell ref="B110:B117"/>
    <mergeCell ref="B118:B120"/>
    <mergeCell ref="K145:K152"/>
    <mergeCell ref="K153:K160"/>
    <mergeCell ref="C10:K10"/>
    <mergeCell ref="C11:K11"/>
    <mergeCell ref="K13:K15"/>
    <mergeCell ref="K40:K42"/>
    <mergeCell ref="K83:K85"/>
    <mergeCell ref="K118:K120"/>
    <mergeCell ref="K16:K23"/>
    <mergeCell ref="K24:K31"/>
    <mergeCell ref="K32:K39"/>
    <mergeCell ref="K43:K50"/>
    <mergeCell ref="K51:K58"/>
    <mergeCell ref="K59:K66"/>
    <mergeCell ref="K67:K74"/>
    <mergeCell ref="K75:K82"/>
    <mergeCell ref="K86:K93"/>
    <mergeCell ref="K94:K101"/>
    <mergeCell ref="K102:K109"/>
    <mergeCell ref="K110:K117"/>
    <mergeCell ref="G13:I13"/>
    <mergeCell ref="J16:J23"/>
    <mergeCell ref="J24:J31"/>
    <mergeCell ref="I14:I15"/>
    <mergeCell ref="E16:E23"/>
    <mergeCell ref="D24:D31"/>
    <mergeCell ref="E13:E15"/>
    <mergeCell ref="D13:D15"/>
    <mergeCell ref="J13:J15"/>
    <mergeCell ref="H14:H15"/>
    <mergeCell ref="I16:I23"/>
    <mergeCell ref="I24:I31"/>
    <mergeCell ref="C153:C160"/>
    <mergeCell ref="E153:E160"/>
    <mergeCell ref="D153:D160"/>
    <mergeCell ref="J32:J39"/>
    <mergeCell ref="J40:J42"/>
    <mergeCell ref="J43:J50"/>
    <mergeCell ref="J51:J58"/>
    <mergeCell ref="J59:J66"/>
    <mergeCell ref="J75:J82"/>
    <mergeCell ref="J83:J85"/>
    <mergeCell ref="J86:J93"/>
    <mergeCell ref="J145:J152"/>
    <mergeCell ref="J121:J128"/>
    <mergeCell ref="I84:I85"/>
    <mergeCell ref="I119:I120"/>
    <mergeCell ref="J110:J117"/>
    <mergeCell ref="J118:J120"/>
    <mergeCell ref="J129:J136"/>
    <mergeCell ref="J153:J160"/>
    <mergeCell ref="G119:G120"/>
    <mergeCell ref="G83:I83"/>
    <mergeCell ref="G118:I118"/>
    <mergeCell ref="C86:C93"/>
    <mergeCell ref="E86:E93"/>
    <mergeCell ref="F86:F93"/>
    <mergeCell ref="C110:C117"/>
    <mergeCell ref="E110:E117"/>
    <mergeCell ref="F110:F117"/>
    <mergeCell ref="D110:D117"/>
    <mergeCell ref="D86:D93"/>
    <mergeCell ref="C137:C144"/>
    <mergeCell ref="D137:D144"/>
    <mergeCell ref="E137:E144"/>
    <mergeCell ref="F137:F144"/>
    <mergeCell ref="D129:D136"/>
    <mergeCell ref="D121:D128"/>
    <mergeCell ref="C129:C136"/>
    <mergeCell ref="E129:E136"/>
    <mergeCell ref="F129:F136"/>
    <mergeCell ref="I129:I136"/>
    <mergeCell ref="F59:F66"/>
    <mergeCell ref="G41:G42"/>
    <mergeCell ref="C51:C58"/>
    <mergeCell ref="D40:D42"/>
    <mergeCell ref="D59:D66"/>
    <mergeCell ref="C40:C42"/>
    <mergeCell ref="C59:C66"/>
    <mergeCell ref="E59:E66"/>
    <mergeCell ref="D43:D50"/>
    <mergeCell ref="D51:D58"/>
    <mergeCell ref="E51:E58"/>
    <mergeCell ref="F51:F58"/>
    <mergeCell ref="F32:F39"/>
    <mergeCell ref="D32:D39"/>
    <mergeCell ref="I41:I42"/>
    <mergeCell ref="C43:C50"/>
    <mergeCell ref="E43:E50"/>
    <mergeCell ref="G40:I40"/>
    <mergeCell ref="F40:F42"/>
    <mergeCell ref="F43:F50"/>
    <mergeCell ref="E40:E42"/>
    <mergeCell ref="I32:I39"/>
    <mergeCell ref="I43:I50"/>
    <mergeCell ref="H43:H50"/>
    <mergeCell ref="C67:C74"/>
    <mergeCell ref="D67:D74"/>
    <mergeCell ref="E67:E74"/>
    <mergeCell ref="F67:F74"/>
    <mergeCell ref="J67:J74"/>
    <mergeCell ref="E83:E85"/>
    <mergeCell ref="E118:E120"/>
    <mergeCell ref="G84:G85"/>
    <mergeCell ref="G14:G15"/>
    <mergeCell ref="C24:C31"/>
    <mergeCell ref="E24:E31"/>
    <mergeCell ref="F24:F31"/>
    <mergeCell ref="C13:C15"/>
    <mergeCell ref="C83:C85"/>
    <mergeCell ref="F83:F85"/>
    <mergeCell ref="C75:C82"/>
    <mergeCell ref="E75:E82"/>
    <mergeCell ref="F75:F82"/>
    <mergeCell ref="D75:D82"/>
    <mergeCell ref="D83:D85"/>
    <mergeCell ref="D118:D120"/>
    <mergeCell ref="C118:C120"/>
    <mergeCell ref="C32:C39"/>
    <mergeCell ref="E32:E39"/>
    <mergeCell ref="L137:L144"/>
    <mergeCell ref="L145:L152"/>
    <mergeCell ref="L153:L160"/>
    <mergeCell ref="J137:J144"/>
    <mergeCell ref="C94:C101"/>
    <mergeCell ref="D94:D101"/>
    <mergeCell ref="E94:E101"/>
    <mergeCell ref="F94:F101"/>
    <mergeCell ref="J94:J101"/>
    <mergeCell ref="C102:C109"/>
    <mergeCell ref="D102:D109"/>
    <mergeCell ref="E102:E109"/>
    <mergeCell ref="F102:F109"/>
    <mergeCell ref="J102:J109"/>
    <mergeCell ref="C121:C128"/>
    <mergeCell ref="E121:E128"/>
    <mergeCell ref="F121:F128"/>
    <mergeCell ref="F118:F120"/>
    <mergeCell ref="C145:C152"/>
    <mergeCell ref="F145:F152"/>
    <mergeCell ref="D145:D152"/>
    <mergeCell ref="E145:E152"/>
    <mergeCell ref="F153:F160"/>
    <mergeCell ref="K121:K128"/>
    <mergeCell ref="L75:L82"/>
    <mergeCell ref="L83:L85"/>
    <mergeCell ref="L86:L93"/>
    <mergeCell ref="L94:L101"/>
    <mergeCell ref="L102:L109"/>
    <mergeCell ref="L110:L117"/>
    <mergeCell ref="L118:L120"/>
    <mergeCell ref="L121:L128"/>
    <mergeCell ref="L129:L136"/>
    <mergeCell ref="L13:L15"/>
    <mergeCell ref="L16:L23"/>
    <mergeCell ref="L24:L31"/>
    <mergeCell ref="L32:L39"/>
    <mergeCell ref="L40:L42"/>
    <mergeCell ref="L43:L50"/>
    <mergeCell ref="L51:L58"/>
    <mergeCell ref="L59:L66"/>
    <mergeCell ref="L67:L74"/>
    <mergeCell ref="M13:M15"/>
    <mergeCell ref="M16:M23"/>
    <mergeCell ref="M24:M31"/>
    <mergeCell ref="M32:M39"/>
    <mergeCell ref="M40:M42"/>
    <mergeCell ref="M43:M50"/>
    <mergeCell ref="M51:M58"/>
    <mergeCell ref="M59:M66"/>
    <mergeCell ref="M67:M74"/>
    <mergeCell ref="M75:M82"/>
    <mergeCell ref="M83:M85"/>
    <mergeCell ref="M86:M93"/>
    <mergeCell ref="M94:M101"/>
    <mergeCell ref="M102:M109"/>
    <mergeCell ref="M110:M117"/>
    <mergeCell ref="M118:M120"/>
    <mergeCell ref="M121:M128"/>
    <mergeCell ref="M129:M136"/>
    <mergeCell ref="M137:M144"/>
    <mergeCell ref="M145:M152"/>
    <mergeCell ref="M153:M160"/>
    <mergeCell ref="O13:O15"/>
    <mergeCell ref="N16:N23"/>
    <mergeCell ref="O24:O31"/>
    <mergeCell ref="O32:O39"/>
    <mergeCell ref="O40:O42"/>
    <mergeCell ref="O43:O50"/>
    <mergeCell ref="O51:O58"/>
    <mergeCell ref="O59:O66"/>
    <mergeCell ref="O67:O74"/>
    <mergeCell ref="O75:O82"/>
    <mergeCell ref="O83:O85"/>
    <mergeCell ref="O86:O93"/>
    <mergeCell ref="O94:O101"/>
    <mergeCell ref="O102:O109"/>
    <mergeCell ref="O110:O117"/>
    <mergeCell ref="O118:O120"/>
    <mergeCell ref="O121:O128"/>
    <mergeCell ref="O129:O136"/>
    <mergeCell ref="O137:O144"/>
    <mergeCell ref="O145:O152"/>
    <mergeCell ref="O153:O160"/>
    <mergeCell ref="P13:P15"/>
    <mergeCell ref="P16:P23"/>
    <mergeCell ref="P24:P31"/>
    <mergeCell ref="P32:P39"/>
    <mergeCell ref="P40:P42"/>
    <mergeCell ref="P43:P50"/>
    <mergeCell ref="P51:P58"/>
    <mergeCell ref="P59:P66"/>
    <mergeCell ref="P67:P74"/>
    <mergeCell ref="P137:P144"/>
    <mergeCell ref="P145:P152"/>
    <mergeCell ref="P153:P160"/>
    <mergeCell ref="P75:P82"/>
    <mergeCell ref="P83:P85"/>
    <mergeCell ref="P86:P93"/>
    <mergeCell ref="P94:P101"/>
    <mergeCell ref="P102:P109"/>
    <mergeCell ref="P110:P117"/>
    <mergeCell ref="P118:P120"/>
    <mergeCell ref="P121:P128"/>
    <mergeCell ref="P129:P136"/>
    <mergeCell ref="I153:I160"/>
    <mergeCell ref="H41:H42"/>
    <mergeCell ref="H84:H85"/>
    <mergeCell ref="H119:H120"/>
    <mergeCell ref="I51:I58"/>
    <mergeCell ref="I59:I66"/>
    <mergeCell ref="I75:I82"/>
    <mergeCell ref="I86:I93"/>
    <mergeCell ref="I94:I101"/>
    <mergeCell ref="I102:I109"/>
    <mergeCell ref="I110:I117"/>
    <mergeCell ref="I121:I128"/>
    <mergeCell ref="H51:H58"/>
    <mergeCell ref="H59:H66"/>
    <mergeCell ref="H121:H128"/>
    <mergeCell ref="H129:H136"/>
    <mergeCell ref="H137:H144"/>
    <mergeCell ref="H145:H152"/>
    <mergeCell ref="H153:H160"/>
    <mergeCell ref="H67:H72"/>
    <mergeCell ref="H75:H82"/>
    <mergeCell ref="H16:H23"/>
    <mergeCell ref="H24:H31"/>
    <mergeCell ref="H32:H39"/>
    <mergeCell ref="H86:H92"/>
    <mergeCell ref="H94:H98"/>
    <mergeCell ref="H102:H109"/>
    <mergeCell ref="I137:I144"/>
    <mergeCell ref="I145:I152"/>
    <mergeCell ref="H110:H114"/>
    <mergeCell ref="H115:H117"/>
    <mergeCell ref="I67:I72"/>
    <mergeCell ref="I73:I74"/>
  </mergeCells>
  <dataValidations count="1">
    <dataValidation type="list" allowBlank="1" showInputMessage="1" showErrorMessage="1" sqref="F121:F160 F43:F82 J16:J39 F86:F117 J86:J117 F16:F39 J43:J82 J121:J160">
      <formula1>"1,2,3"</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3" tint="0.39997558519241921"/>
  </sheetPr>
  <dimension ref="B1:O198"/>
  <sheetViews>
    <sheetView showGridLines="0" topLeftCell="A70" zoomScaleNormal="100" workbookViewId="0">
      <selection activeCell="I115" sqref="I115:I122"/>
    </sheetView>
  </sheetViews>
  <sheetFormatPr baseColWidth="10" defaultColWidth="3.140625" defaultRowHeight="22.5" customHeight="1" x14ac:dyDescent="0.3"/>
  <cols>
    <col min="1" max="1" width="2.5703125" style="15" customWidth="1"/>
    <col min="2" max="2" width="4.42578125" style="15" hidden="1" customWidth="1"/>
    <col min="3" max="3" width="42.5703125" style="15" customWidth="1"/>
    <col min="4" max="4" width="39.140625" style="15" customWidth="1"/>
    <col min="5" max="5" width="41.7109375" style="15" customWidth="1"/>
    <col min="6" max="6" width="7.42578125" style="15" customWidth="1"/>
    <col min="7" max="7" width="3.5703125" style="15" bestFit="1" customWidth="1"/>
    <col min="8" max="8" width="38.28515625" style="15" customWidth="1"/>
    <col min="9" max="9" width="41.85546875" style="15" customWidth="1"/>
    <col min="10" max="10" width="7.42578125" style="15" customWidth="1"/>
    <col min="11" max="11" width="26" style="15" customWidth="1"/>
    <col min="12" max="13" width="8" style="98" customWidth="1"/>
    <col min="14" max="14" width="12" style="98" customWidth="1"/>
    <col min="15" max="15" width="3.140625" style="58" customWidth="1"/>
    <col min="16" max="16363" width="3.140625" style="15" customWidth="1"/>
    <col min="16364" max="16384" width="3.140625" style="15"/>
  </cols>
  <sheetData>
    <row r="1" spans="3:11" ht="9.9499999999999993" customHeight="1" x14ac:dyDescent="0.3"/>
    <row r="2" spans="3:11" ht="9.9499999999999993" customHeight="1" x14ac:dyDescent="0.3"/>
    <row r="3" spans="3:11" ht="9.9499999999999993" customHeight="1" x14ac:dyDescent="0.3"/>
    <row r="4" spans="3:11" ht="9.9499999999999993" customHeight="1" x14ac:dyDescent="0.3"/>
    <row r="5" spans="3:11" ht="9.9499999999999993" customHeight="1" x14ac:dyDescent="0.3"/>
    <row r="6" spans="3:11" ht="9.9499999999999993" customHeight="1" x14ac:dyDescent="0.3"/>
    <row r="7" spans="3:11" ht="9.9499999999999993" customHeight="1" x14ac:dyDescent="0.3"/>
    <row r="8" spans="3:11" ht="9.9499999999999993" customHeight="1" x14ac:dyDescent="0.3"/>
    <row r="9" spans="3:11" ht="9.9499999999999993" customHeight="1" x14ac:dyDescent="0.3"/>
    <row r="10" spans="3:11" ht="9.9499999999999993" customHeight="1" x14ac:dyDescent="0.3"/>
    <row r="11" spans="3:11" ht="9.9499999999999993" customHeight="1" x14ac:dyDescent="0.3"/>
    <row r="12" spans="3:11" ht="31.5" customHeight="1" x14ac:dyDescent="0.3"/>
    <row r="13" spans="3:11" ht="24.75" customHeight="1" x14ac:dyDescent="0.3"/>
    <row r="14" spans="3:11" ht="20.25" customHeight="1" x14ac:dyDescent="0.3"/>
    <row r="15" spans="3:11" ht="20.100000000000001" customHeight="1" x14ac:dyDescent="0.3">
      <c r="C15" s="589" t="s">
        <v>208</v>
      </c>
      <c r="D15" s="589"/>
      <c r="E15" s="589"/>
      <c r="F15" s="589"/>
      <c r="G15" s="589"/>
      <c r="H15" s="589"/>
      <c r="I15" s="589"/>
      <c r="J15" s="589"/>
      <c r="K15" s="589"/>
    </row>
    <row r="16" spans="3:11" ht="37.700000000000003" customHeight="1" x14ac:dyDescent="0.3">
      <c r="C16" s="330" t="s">
        <v>209</v>
      </c>
      <c r="D16" s="330"/>
      <c r="E16" s="330"/>
      <c r="F16" s="330"/>
      <c r="G16" s="330"/>
      <c r="H16" s="330"/>
      <c r="I16" s="330"/>
      <c r="J16" s="330"/>
      <c r="K16" s="330"/>
    </row>
    <row r="17" spans="2:15" ht="9.9499999999999993" customHeight="1" thickBot="1" x14ac:dyDescent="0.35">
      <c r="C17" s="16"/>
      <c r="D17" s="16"/>
      <c r="F17" s="17"/>
    </row>
    <row r="18" spans="2:15" ht="36.75" customHeight="1" x14ac:dyDescent="0.3">
      <c r="B18" s="606" t="s">
        <v>111</v>
      </c>
      <c r="C18" s="542" t="s">
        <v>210</v>
      </c>
      <c r="D18" s="578" t="s">
        <v>8</v>
      </c>
      <c r="E18" s="578" t="s">
        <v>211</v>
      </c>
      <c r="F18" s="601" t="s">
        <v>175</v>
      </c>
      <c r="G18" s="605" t="s">
        <v>115</v>
      </c>
      <c r="H18" s="605"/>
      <c r="I18" s="605"/>
      <c r="J18" s="601" t="s">
        <v>212</v>
      </c>
      <c r="K18" s="592" t="s">
        <v>135</v>
      </c>
      <c r="L18" s="465"/>
      <c r="M18" s="465"/>
      <c r="N18" s="465"/>
    </row>
    <row r="19" spans="2:15" ht="29.25" customHeight="1" x14ac:dyDescent="0.3">
      <c r="B19" s="607"/>
      <c r="C19" s="543"/>
      <c r="D19" s="579"/>
      <c r="E19" s="579"/>
      <c r="F19" s="602"/>
      <c r="G19" s="600" t="s">
        <v>13</v>
      </c>
      <c r="H19" s="579" t="s">
        <v>15</v>
      </c>
      <c r="I19" s="579" t="s">
        <v>17</v>
      </c>
      <c r="J19" s="602"/>
      <c r="K19" s="593"/>
      <c r="L19" s="465"/>
      <c r="M19" s="465"/>
      <c r="N19" s="465"/>
    </row>
    <row r="20" spans="2:15" ht="65.25" customHeight="1" thickBot="1" x14ac:dyDescent="0.35">
      <c r="B20" s="608"/>
      <c r="C20" s="544"/>
      <c r="D20" s="580"/>
      <c r="E20" s="580"/>
      <c r="F20" s="603"/>
      <c r="G20" s="585"/>
      <c r="H20" s="585"/>
      <c r="I20" s="585"/>
      <c r="J20" s="603"/>
      <c r="K20" s="594"/>
      <c r="L20" s="465"/>
      <c r="M20" s="465"/>
      <c r="N20" s="465"/>
    </row>
    <row r="21" spans="2:15" ht="50.25" customHeight="1" x14ac:dyDescent="0.3">
      <c r="B21" s="306" t="str">
        <f>+LEFT(C21,4)</f>
        <v>10.1</v>
      </c>
      <c r="C21" s="598" t="s">
        <v>213</v>
      </c>
      <c r="D21" s="564" t="s">
        <v>203</v>
      </c>
      <c r="E21" s="586" t="s">
        <v>611</v>
      </c>
      <c r="F21" s="599">
        <v>3</v>
      </c>
      <c r="G21" s="137">
        <v>1</v>
      </c>
      <c r="H21" s="207" t="s">
        <v>446</v>
      </c>
      <c r="I21" s="586" t="s">
        <v>612</v>
      </c>
      <c r="J21" s="604">
        <v>1</v>
      </c>
      <c r="K21" s="303" t="str">
        <f t="shared" ref="K21" si="0">+IF(OR(ISBLANK(F21),ISBLANK(J21)),"",IF(OR(AND(F21=1,J21=1),AND(F21=1,J21=2),AND(F21=1,J21=3)),"Deficiencia de control mayor (diseño y ejecución)",IF(OR(AND(F21=2,J21=2),AND(F21=3,J21=1),AND(F21=3,J21=2),AND(F21=2,J21=1)),"Deficiencia de control (diseño o ejecución)",IF(AND(F21=2,J21=3),"Oportunidad de mejora","Mantenimiento del control"))))</f>
        <v>Deficiencia de control (diseño o ejecución)</v>
      </c>
      <c r="L21" s="413">
        <f>+IF(K21="",152,IF(K21="Deficiencia de control mayor (diseño y ejecución)",160,IF(K21="Deficiencia de control (diseño o ejecución)",180,IF(K21="Oportunidad de mejora",200,220))))</f>
        <v>180</v>
      </c>
      <c r="M21" s="460">
        <v>3.4569000000000001</v>
      </c>
      <c r="N21" s="460">
        <f>+L21+M21</f>
        <v>183.45689999999999</v>
      </c>
    </row>
    <row r="22" spans="2:15" s="18" customFormat="1" ht="36.75" customHeight="1" x14ac:dyDescent="0.3">
      <c r="B22" s="307"/>
      <c r="C22" s="561"/>
      <c r="D22" s="564"/>
      <c r="E22" s="587"/>
      <c r="F22" s="323"/>
      <c r="G22" s="138">
        <v>2</v>
      </c>
      <c r="H22" s="194" t="s">
        <v>447</v>
      </c>
      <c r="I22" s="587"/>
      <c r="J22" s="320"/>
      <c r="K22" s="304"/>
      <c r="L22" s="413"/>
      <c r="M22" s="460"/>
      <c r="N22" s="460"/>
      <c r="O22" s="55"/>
    </row>
    <row r="23" spans="2:15" s="18" customFormat="1" ht="36.75" customHeight="1" x14ac:dyDescent="0.3">
      <c r="B23" s="307"/>
      <c r="C23" s="561"/>
      <c r="D23" s="564"/>
      <c r="E23" s="587"/>
      <c r="F23" s="323"/>
      <c r="G23" s="138">
        <v>3</v>
      </c>
      <c r="H23" s="138"/>
      <c r="I23" s="587"/>
      <c r="J23" s="320"/>
      <c r="K23" s="304"/>
      <c r="L23" s="413"/>
      <c r="M23" s="460"/>
      <c r="N23" s="460"/>
      <c r="O23" s="55"/>
    </row>
    <row r="24" spans="2:15" s="18" customFormat="1" ht="39.75" customHeight="1" x14ac:dyDescent="0.3">
      <c r="B24" s="307"/>
      <c r="C24" s="561"/>
      <c r="D24" s="564"/>
      <c r="E24" s="587"/>
      <c r="F24" s="323"/>
      <c r="G24" s="138">
        <v>4</v>
      </c>
      <c r="H24" s="138"/>
      <c r="I24" s="587"/>
      <c r="J24" s="320"/>
      <c r="K24" s="304"/>
      <c r="L24" s="413"/>
      <c r="M24" s="460"/>
      <c r="N24" s="460"/>
      <c r="O24" s="55"/>
    </row>
    <row r="25" spans="2:15" s="18" customFormat="1" ht="26.25" customHeight="1" thickBot="1" x14ac:dyDescent="0.35">
      <c r="B25" s="307"/>
      <c r="C25" s="561"/>
      <c r="D25" s="564"/>
      <c r="E25" s="587"/>
      <c r="F25" s="323"/>
      <c r="G25" s="138">
        <v>5</v>
      </c>
      <c r="H25" s="138"/>
      <c r="I25" s="587"/>
      <c r="J25" s="320"/>
      <c r="K25" s="304"/>
      <c r="L25" s="413"/>
      <c r="M25" s="460"/>
      <c r="N25" s="460"/>
      <c r="O25" s="55"/>
    </row>
    <row r="26" spans="2:15" s="18" customFormat="1" ht="16.5" hidden="1" customHeight="1" thickBot="1" x14ac:dyDescent="0.35">
      <c r="B26" s="307"/>
      <c r="C26" s="561"/>
      <c r="D26" s="564"/>
      <c r="E26" s="587"/>
      <c r="F26" s="323"/>
      <c r="G26" s="138">
        <v>6</v>
      </c>
      <c r="H26" s="138"/>
      <c r="I26" s="587"/>
      <c r="J26" s="320"/>
      <c r="K26" s="304"/>
      <c r="L26" s="413"/>
      <c r="M26" s="460"/>
      <c r="N26" s="460"/>
      <c r="O26" s="55"/>
    </row>
    <row r="27" spans="2:15" s="18" customFormat="1" ht="23.25" hidden="1" customHeight="1" thickBot="1" x14ac:dyDescent="0.35">
      <c r="B27" s="307"/>
      <c r="C27" s="561"/>
      <c r="D27" s="564"/>
      <c r="E27" s="587"/>
      <c r="F27" s="323"/>
      <c r="G27" s="138">
        <v>7</v>
      </c>
      <c r="H27" s="138"/>
      <c r="I27" s="587"/>
      <c r="J27" s="320"/>
      <c r="K27" s="304"/>
      <c r="L27" s="413"/>
      <c r="M27" s="460"/>
      <c r="N27" s="460"/>
      <c r="O27" s="55"/>
    </row>
    <row r="28" spans="2:15" s="18" customFormat="1" ht="45" hidden="1" customHeight="1" thickBot="1" x14ac:dyDescent="0.35">
      <c r="B28" s="308"/>
      <c r="C28" s="562"/>
      <c r="D28" s="565"/>
      <c r="E28" s="588"/>
      <c r="F28" s="324"/>
      <c r="G28" s="140">
        <v>8</v>
      </c>
      <c r="H28" s="140"/>
      <c r="I28" s="588"/>
      <c r="J28" s="321"/>
      <c r="K28" s="305"/>
      <c r="L28" s="413"/>
      <c r="M28" s="460"/>
      <c r="N28" s="460"/>
      <c r="O28" s="55"/>
    </row>
    <row r="29" spans="2:15" s="18" customFormat="1" ht="87" customHeight="1" x14ac:dyDescent="0.3">
      <c r="B29" s="306" t="str">
        <f>+LEFT(C29,4)</f>
        <v>10.2</v>
      </c>
      <c r="C29" s="376" t="s">
        <v>214</v>
      </c>
      <c r="D29" s="313" t="s">
        <v>203</v>
      </c>
      <c r="E29" s="366" t="s">
        <v>613</v>
      </c>
      <c r="F29" s="322">
        <v>2</v>
      </c>
      <c r="G29" s="141">
        <v>1</v>
      </c>
      <c r="H29" s="213" t="s">
        <v>614</v>
      </c>
      <c r="I29" s="433" t="s">
        <v>615</v>
      </c>
      <c r="J29" s="319">
        <v>1</v>
      </c>
      <c r="K29" s="394" t="str">
        <f t="shared" ref="K29:K37" si="1">+IF(OR(ISBLANK(F29),ISBLANK(J29)),"",IF(OR(AND(F29=1,J29=1),AND(F29=1,J29=2),AND(F29=1,J29=3)),"Deficiencia de control mayor (diseño y ejecución)",IF(OR(AND(F29=2,J29=2),AND(F29=3,J29=1),AND(F29=3,J29=2),AND(F29=2,J29=1)),"Deficiencia de control (diseño o ejecución)",IF(AND(F29=2,J29=3),"Oportunidad de mejora","Mantenimiento del control"))))</f>
        <v>Deficiencia de control (diseño o ejecución)</v>
      </c>
      <c r="L29" s="413">
        <f t="shared" ref="L29" si="2">+IF(K29="",152,IF(K29="Deficiencia de control mayor (diseño y ejecución)",160,IF(K29="Deficiencia de control (diseño o ejecución)",180,IF(K29="Oportunidad de mejora",200,220))))</f>
        <v>180</v>
      </c>
      <c r="M29" s="460">
        <v>3.5478000000000001</v>
      </c>
      <c r="N29" s="460">
        <f>+L29+M29</f>
        <v>183.5478</v>
      </c>
      <c r="O29" s="55"/>
    </row>
    <row r="30" spans="2:15" s="18" customFormat="1" ht="18" customHeight="1" thickBot="1" x14ac:dyDescent="0.35">
      <c r="B30" s="307"/>
      <c r="C30" s="377"/>
      <c r="D30" s="314"/>
      <c r="E30" s="540"/>
      <c r="F30" s="323"/>
      <c r="G30" s="138">
        <v>2</v>
      </c>
      <c r="H30" s="138"/>
      <c r="I30" s="425"/>
      <c r="J30" s="320"/>
      <c r="K30" s="304"/>
      <c r="L30" s="413"/>
      <c r="M30" s="460"/>
      <c r="N30" s="460"/>
      <c r="O30" s="55"/>
    </row>
    <row r="31" spans="2:15" s="18" customFormat="1" ht="35.25" hidden="1" customHeight="1" thickBot="1" x14ac:dyDescent="0.35">
      <c r="B31" s="307"/>
      <c r="C31" s="377"/>
      <c r="D31" s="314"/>
      <c r="E31" s="540"/>
      <c r="F31" s="323"/>
      <c r="G31" s="138">
        <v>3</v>
      </c>
      <c r="H31" s="138"/>
      <c r="I31" s="425"/>
      <c r="J31" s="320"/>
      <c r="K31" s="304"/>
      <c r="L31" s="413"/>
      <c r="M31" s="460"/>
      <c r="N31" s="460"/>
      <c r="O31" s="55"/>
    </row>
    <row r="32" spans="2:15" s="18" customFormat="1" ht="1.5" hidden="1" customHeight="1" thickBot="1" x14ac:dyDescent="0.35">
      <c r="B32" s="307"/>
      <c r="C32" s="377"/>
      <c r="D32" s="314"/>
      <c r="E32" s="540"/>
      <c r="F32" s="323"/>
      <c r="G32" s="138">
        <v>4</v>
      </c>
      <c r="H32" s="138"/>
      <c r="I32" s="425"/>
      <c r="J32" s="320"/>
      <c r="K32" s="304"/>
      <c r="L32" s="413"/>
      <c r="M32" s="460"/>
      <c r="N32" s="460"/>
      <c r="O32" s="55"/>
    </row>
    <row r="33" spans="2:15" s="18" customFormat="1" ht="3.75" hidden="1" customHeight="1" thickBot="1" x14ac:dyDescent="0.35">
      <c r="B33" s="307"/>
      <c r="C33" s="377"/>
      <c r="D33" s="314"/>
      <c r="E33" s="540"/>
      <c r="F33" s="323"/>
      <c r="G33" s="138">
        <v>5</v>
      </c>
      <c r="H33" s="138"/>
      <c r="I33" s="425"/>
      <c r="J33" s="320"/>
      <c r="K33" s="304"/>
      <c r="L33" s="413"/>
      <c r="M33" s="460"/>
      <c r="N33" s="460"/>
      <c r="O33" s="55"/>
    </row>
    <row r="34" spans="2:15" s="18" customFormat="1" ht="35.25" hidden="1" customHeight="1" thickBot="1" x14ac:dyDescent="0.35">
      <c r="B34" s="307"/>
      <c r="C34" s="377"/>
      <c r="D34" s="314"/>
      <c r="E34" s="540"/>
      <c r="F34" s="323"/>
      <c r="G34" s="138">
        <v>6</v>
      </c>
      <c r="H34" s="138"/>
      <c r="I34" s="425"/>
      <c r="J34" s="320"/>
      <c r="K34" s="304"/>
      <c r="L34" s="413"/>
      <c r="M34" s="460"/>
      <c r="N34" s="460"/>
      <c r="O34" s="55"/>
    </row>
    <row r="35" spans="2:15" s="18" customFormat="1" ht="35.25" hidden="1" customHeight="1" thickBot="1" x14ac:dyDescent="0.35">
      <c r="B35" s="307"/>
      <c r="C35" s="377"/>
      <c r="D35" s="314"/>
      <c r="E35" s="540"/>
      <c r="F35" s="323"/>
      <c r="G35" s="138">
        <v>7</v>
      </c>
      <c r="H35" s="138"/>
      <c r="I35" s="425"/>
      <c r="J35" s="320"/>
      <c r="K35" s="304"/>
      <c r="L35" s="413"/>
      <c r="M35" s="460"/>
      <c r="N35" s="460"/>
      <c r="O35" s="55"/>
    </row>
    <row r="36" spans="2:15" s="18" customFormat="1" ht="35.25" hidden="1" customHeight="1" thickBot="1" x14ac:dyDescent="0.35">
      <c r="B36" s="308"/>
      <c r="C36" s="378"/>
      <c r="D36" s="315"/>
      <c r="E36" s="541"/>
      <c r="F36" s="324"/>
      <c r="G36" s="140">
        <v>8</v>
      </c>
      <c r="H36" s="140"/>
      <c r="I36" s="426"/>
      <c r="J36" s="321"/>
      <c r="K36" s="305"/>
      <c r="L36" s="413"/>
      <c r="M36" s="460"/>
      <c r="N36" s="460"/>
      <c r="O36" s="55"/>
    </row>
    <row r="37" spans="2:15" s="18" customFormat="1" ht="49.5" customHeight="1" x14ac:dyDescent="0.3">
      <c r="B37" s="306" t="str">
        <f>+LEFT(C37,4)</f>
        <v>10.3</v>
      </c>
      <c r="C37" s="560" t="s">
        <v>215</v>
      </c>
      <c r="D37" s="313" t="s">
        <v>216</v>
      </c>
      <c r="E37" s="366" t="s">
        <v>616</v>
      </c>
      <c r="F37" s="322">
        <v>3</v>
      </c>
      <c r="G37" s="141">
        <v>1</v>
      </c>
      <c r="H37" s="197" t="s">
        <v>522</v>
      </c>
      <c r="I37" s="524" t="s">
        <v>618</v>
      </c>
      <c r="J37" s="319">
        <v>2</v>
      </c>
      <c r="K37" s="394" t="str">
        <f t="shared" si="1"/>
        <v>Deficiencia de control (diseño o ejecución)</v>
      </c>
      <c r="L37" s="413">
        <f t="shared" ref="L37" si="3">+IF(K37="",152,IF(K37="Deficiencia de control mayor (diseño y ejecución)",160,IF(K37="Deficiencia de control (diseño o ejecución)",180,IF(K37="Oportunidad de mejora",200,220))))</f>
        <v>180</v>
      </c>
      <c r="M37" s="460">
        <v>3.6457999999999999</v>
      </c>
      <c r="N37" s="460">
        <f>+L37+M37</f>
        <v>183.64580000000001</v>
      </c>
      <c r="O37" s="55"/>
    </row>
    <row r="38" spans="2:15" s="18" customFormat="1" ht="63" customHeight="1" x14ac:dyDescent="0.3">
      <c r="B38" s="307"/>
      <c r="C38" s="561"/>
      <c r="D38" s="314"/>
      <c r="E38" s="540"/>
      <c r="F38" s="323"/>
      <c r="G38" s="138">
        <v>2</v>
      </c>
      <c r="H38" s="214" t="s">
        <v>617</v>
      </c>
      <c r="I38" s="525"/>
      <c r="J38" s="320"/>
      <c r="K38" s="304"/>
      <c r="L38" s="413"/>
      <c r="M38" s="460"/>
      <c r="N38" s="460"/>
      <c r="O38" s="55"/>
    </row>
    <row r="39" spans="2:15" s="18" customFormat="1" ht="60" customHeight="1" thickBot="1" x14ac:dyDescent="0.35">
      <c r="B39" s="307"/>
      <c r="C39" s="561"/>
      <c r="D39" s="314"/>
      <c r="E39" s="540"/>
      <c r="F39" s="323"/>
      <c r="G39" s="138">
        <v>3</v>
      </c>
      <c r="H39" s="215" t="s">
        <v>523</v>
      </c>
      <c r="I39" s="525"/>
      <c r="J39" s="320"/>
      <c r="K39" s="304"/>
      <c r="L39" s="413"/>
      <c r="M39" s="460"/>
      <c r="N39" s="460"/>
      <c r="O39" s="55"/>
    </row>
    <row r="40" spans="2:15" s="18" customFormat="1" ht="21" hidden="1" customHeight="1" thickBot="1" x14ac:dyDescent="0.35">
      <c r="B40" s="307"/>
      <c r="C40" s="561"/>
      <c r="D40" s="314"/>
      <c r="E40" s="540"/>
      <c r="F40" s="323"/>
      <c r="G40" s="138">
        <v>4</v>
      </c>
      <c r="H40" s="138"/>
      <c r="I40" s="525"/>
      <c r="J40" s="320"/>
      <c r="K40" s="304"/>
      <c r="L40" s="413"/>
      <c r="M40" s="460"/>
      <c r="N40" s="460"/>
      <c r="O40" s="55"/>
    </row>
    <row r="41" spans="2:15" s="18" customFormat="1" ht="9" hidden="1" customHeight="1" thickBot="1" x14ac:dyDescent="0.35">
      <c r="B41" s="307"/>
      <c r="C41" s="561"/>
      <c r="D41" s="314"/>
      <c r="E41" s="540"/>
      <c r="F41" s="323"/>
      <c r="G41" s="138">
        <v>5</v>
      </c>
      <c r="H41" s="138"/>
      <c r="I41" s="525"/>
      <c r="J41" s="320"/>
      <c r="K41" s="304"/>
      <c r="L41" s="413"/>
      <c r="M41" s="460"/>
      <c r="N41" s="460"/>
      <c r="O41" s="55"/>
    </row>
    <row r="42" spans="2:15" s="18" customFormat="1" ht="21" hidden="1" customHeight="1" thickBot="1" x14ac:dyDescent="0.35">
      <c r="B42" s="307"/>
      <c r="C42" s="561"/>
      <c r="D42" s="314"/>
      <c r="E42" s="540"/>
      <c r="F42" s="323"/>
      <c r="G42" s="138">
        <v>6</v>
      </c>
      <c r="H42" s="138"/>
      <c r="I42" s="525"/>
      <c r="J42" s="320"/>
      <c r="K42" s="304"/>
      <c r="L42" s="413"/>
      <c r="M42" s="460"/>
      <c r="N42" s="460"/>
      <c r="O42" s="55"/>
    </row>
    <row r="43" spans="2:15" s="18" customFormat="1" ht="12" hidden="1" customHeight="1" thickBot="1" x14ac:dyDescent="0.35">
      <c r="B43" s="307"/>
      <c r="C43" s="561"/>
      <c r="D43" s="314"/>
      <c r="E43" s="540"/>
      <c r="F43" s="323"/>
      <c r="G43" s="138">
        <v>7</v>
      </c>
      <c r="H43" s="138"/>
      <c r="I43" s="525"/>
      <c r="J43" s="320"/>
      <c r="K43" s="304"/>
      <c r="L43" s="413"/>
      <c r="M43" s="460"/>
      <c r="N43" s="460"/>
      <c r="O43" s="55"/>
    </row>
    <row r="44" spans="2:15" s="18" customFormat="1" ht="55.5" hidden="1" customHeight="1" thickBot="1" x14ac:dyDescent="0.35">
      <c r="B44" s="308"/>
      <c r="C44" s="562"/>
      <c r="D44" s="315"/>
      <c r="E44" s="541"/>
      <c r="F44" s="324"/>
      <c r="G44" s="140">
        <v>8</v>
      </c>
      <c r="H44" s="140"/>
      <c r="I44" s="526"/>
      <c r="J44" s="321"/>
      <c r="K44" s="305"/>
      <c r="L44" s="413"/>
      <c r="M44" s="460"/>
      <c r="N44" s="460"/>
      <c r="O44" s="55"/>
    </row>
    <row r="45" spans="2:15" s="18" customFormat="1" ht="27" customHeight="1" x14ac:dyDescent="0.3">
      <c r="B45" s="609"/>
      <c r="C45" s="542" t="s">
        <v>217</v>
      </c>
      <c r="D45" s="545" t="s">
        <v>8</v>
      </c>
      <c r="E45" s="548"/>
      <c r="F45" s="551" t="s">
        <v>175</v>
      </c>
      <c r="G45" s="554" t="s">
        <v>115</v>
      </c>
      <c r="H45" s="555"/>
      <c r="I45" s="555"/>
      <c r="J45" s="551" t="s">
        <v>212</v>
      </c>
      <c r="K45" s="595" t="s">
        <v>135</v>
      </c>
      <c r="L45" s="464"/>
      <c r="M45" s="464"/>
      <c r="N45" s="464"/>
      <c r="O45" s="55"/>
    </row>
    <row r="46" spans="2:15" s="18" customFormat="1" ht="33" customHeight="1" x14ac:dyDescent="0.3">
      <c r="B46" s="610"/>
      <c r="C46" s="543"/>
      <c r="D46" s="546"/>
      <c r="E46" s="549"/>
      <c r="F46" s="552"/>
      <c r="G46" s="556" t="s">
        <v>13</v>
      </c>
      <c r="H46" s="558" t="s">
        <v>15</v>
      </c>
      <c r="I46" s="558" t="s">
        <v>17</v>
      </c>
      <c r="J46" s="552"/>
      <c r="K46" s="596"/>
      <c r="L46" s="464"/>
      <c r="M46" s="464"/>
      <c r="N46" s="464"/>
      <c r="O46" s="55"/>
    </row>
    <row r="47" spans="2:15" s="18" customFormat="1" ht="75" customHeight="1" thickBot="1" x14ac:dyDescent="0.35">
      <c r="B47" s="611"/>
      <c r="C47" s="544"/>
      <c r="D47" s="547"/>
      <c r="E47" s="550"/>
      <c r="F47" s="553"/>
      <c r="G47" s="557"/>
      <c r="H47" s="559"/>
      <c r="I47" s="559"/>
      <c r="J47" s="553"/>
      <c r="K47" s="597"/>
      <c r="L47" s="464"/>
      <c r="M47" s="464"/>
      <c r="N47" s="464"/>
      <c r="O47" s="55"/>
    </row>
    <row r="48" spans="2:15" s="18" customFormat="1" ht="64.5" customHeight="1" x14ac:dyDescent="0.3">
      <c r="B48" s="306" t="str">
        <f>+LEFT(C48,4)</f>
        <v>11.1</v>
      </c>
      <c r="C48" s="376" t="s">
        <v>218</v>
      </c>
      <c r="D48" s="313" t="s">
        <v>219</v>
      </c>
      <c r="E48" s="533" t="s">
        <v>619</v>
      </c>
      <c r="F48" s="319">
        <v>1</v>
      </c>
      <c r="G48" s="141">
        <v>1</v>
      </c>
      <c r="H48" s="197" t="s">
        <v>620</v>
      </c>
      <c r="I48" s="527" t="s">
        <v>621</v>
      </c>
      <c r="J48" s="319">
        <v>1</v>
      </c>
      <c r="K48" s="394" t="str">
        <f t="shared" ref="K48:K72" si="4">+IF(OR(ISBLANK(F48),ISBLANK(J48)),"",IF(OR(AND(F48=1,J48=1),AND(F48=1,J48=2),AND(F48=1,J48=3)),"Deficiencia de control mayor (diseño y ejecución)",IF(OR(AND(F48=2,J48=2),AND(F48=3,J48=1),AND(F48=3,J48=2),AND(F48=2,J48=1)),"Deficiencia de control (diseño o ejecución)",IF(AND(F48=2,J48=3),"Oportunidad de mejora","Mantenimiento del control"))))</f>
        <v>Deficiencia de control mayor (diseño y ejecución)</v>
      </c>
      <c r="L48" s="413">
        <f t="shared" ref="L48" si="5">+IF(K48="",152,IF(K48="Deficiencia de control mayor (diseño y ejecución)",160,IF(K48="Deficiencia de control (diseño o ejecución)",180,IF(K48="Oportunidad de mejora",200,220))))</f>
        <v>160</v>
      </c>
      <c r="M48" s="460">
        <v>3.7896000000000001</v>
      </c>
      <c r="N48" s="460">
        <f>+L48+M48</f>
        <v>163.78960000000001</v>
      </c>
      <c r="O48" s="55"/>
    </row>
    <row r="49" spans="2:15" s="18" customFormat="1" ht="52.5" customHeight="1" x14ac:dyDescent="0.3">
      <c r="B49" s="307"/>
      <c r="C49" s="377"/>
      <c r="D49" s="314"/>
      <c r="E49" s="534"/>
      <c r="F49" s="320"/>
      <c r="G49" s="138">
        <v>2</v>
      </c>
      <c r="H49" s="216"/>
      <c r="I49" s="528"/>
      <c r="J49" s="320"/>
      <c r="K49" s="304"/>
      <c r="L49" s="413"/>
      <c r="M49" s="460"/>
      <c r="N49" s="460"/>
      <c r="O49" s="55"/>
    </row>
    <row r="50" spans="2:15" s="18" customFormat="1" ht="15.75" customHeight="1" x14ac:dyDescent="0.3">
      <c r="B50" s="307"/>
      <c r="C50" s="377"/>
      <c r="D50" s="314"/>
      <c r="E50" s="534"/>
      <c r="F50" s="320"/>
      <c r="G50" s="138">
        <v>3</v>
      </c>
      <c r="H50" s="138"/>
      <c r="I50" s="528"/>
      <c r="J50" s="320"/>
      <c r="K50" s="304"/>
      <c r="L50" s="413"/>
      <c r="M50" s="460"/>
      <c r="N50" s="460"/>
      <c r="O50" s="55"/>
    </row>
    <row r="51" spans="2:15" s="18" customFormat="1" ht="21" hidden="1" customHeight="1" thickBot="1" x14ac:dyDescent="0.35">
      <c r="B51" s="307"/>
      <c r="C51" s="377"/>
      <c r="D51" s="314"/>
      <c r="E51" s="534"/>
      <c r="F51" s="320"/>
      <c r="G51" s="138">
        <v>4</v>
      </c>
      <c r="H51" s="138"/>
      <c r="I51" s="528"/>
      <c r="J51" s="320"/>
      <c r="K51" s="304"/>
      <c r="L51" s="413"/>
      <c r="M51" s="460"/>
      <c r="N51" s="460"/>
      <c r="O51" s="55"/>
    </row>
    <row r="52" spans="2:15" s="18" customFormat="1" ht="21" hidden="1" customHeight="1" thickBot="1" x14ac:dyDescent="0.35">
      <c r="B52" s="307"/>
      <c r="C52" s="377"/>
      <c r="D52" s="314"/>
      <c r="E52" s="534"/>
      <c r="F52" s="320"/>
      <c r="G52" s="138">
        <v>5</v>
      </c>
      <c r="H52" s="138"/>
      <c r="I52" s="528"/>
      <c r="J52" s="320"/>
      <c r="K52" s="304"/>
      <c r="L52" s="413"/>
      <c r="M52" s="460"/>
      <c r="N52" s="460"/>
      <c r="O52" s="55"/>
    </row>
    <row r="53" spans="2:15" s="18" customFormat="1" ht="21" hidden="1" customHeight="1" thickBot="1" x14ac:dyDescent="0.35">
      <c r="B53" s="307"/>
      <c r="C53" s="377"/>
      <c r="D53" s="314"/>
      <c r="E53" s="534"/>
      <c r="F53" s="320"/>
      <c r="G53" s="138">
        <v>6</v>
      </c>
      <c r="H53" s="138"/>
      <c r="I53" s="528"/>
      <c r="J53" s="320"/>
      <c r="K53" s="304"/>
      <c r="L53" s="413"/>
      <c r="M53" s="460"/>
      <c r="N53" s="460"/>
      <c r="O53" s="55"/>
    </row>
    <row r="54" spans="2:15" s="18" customFormat="1" ht="21" hidden="1" customHeight="1" thickBot="1" x14ac:dyDescent="0.35">
      <c r="B54" s="307"/>
      <c r="C54" s="377"/>
      <c r="D54" s="314"/>
      <c r="E54" s="534"/>
      <c r="F54" s="320"/>
      <c r="G54" s="138">
        <v>7</v>
      </c>
      <c r="H54" s="138"/>
      <c r="I54" s="528"/>
      <c r="J54" s="320"/>
      <c r="K54" s="304"/>
      <c r="L54" s="413"/>
      <c r="M54" s="460"/>
      <c r="N54" s="460"/>
      <c r="O54" s="55"/>
    </row>
    <row r="55" spans="2:15" s="18" customFormat="1" ht="3" customHeight="1" thickBot="1" x14ac:dyDescent="0.35">
      <c r="B55" s="308"/>
      <c r="C55" s="378"/>
      <c r="D55" s="315"/>
      <c r="E55" s="535"/>
      <c r="F55" s="321"/>
      <c r="G55" s="140">
        <v>8</v>
      </c>
      <c r="H55" s="140"/>
      <c r="I55" s="529"/>
      <c r="J55" s="321"/>
      <c r="K55" s="305"/>
      <c r="L55" s="413"/>
      <c r="M55" s="460"/>
      <c r="N55" s="460"/>
      <c r="O55" s="55"/>
    </row>
    <row r="56" spans="2:15" s="18" customFormat="1" ht="42.75" customHeight="1" x14ac:dyDescent="0.3">
      <c r="B56" s="306" t="str">
        <f>+LEFT(C56,4)</f>
        <v>11.2</v>
      </c>
      <c r="C56" s="560" t="s">
        <v>220</v>
      </c>
      <c r="D56" s="313" t="s">
        <v>219</v>
      </c>
      <c r="E56" s="433" t="s">
        <v>514</v>
      </c>
      <c r="F56" s="319">
        <v>1</v>
      </c>
      <c r="G56" s="141">
        <v>1</v>
      </c>
      <c r="H56" s="198"/>
      <c r="I56" s="530" t="s">
        <v>622</v>
      </c>
      <c r="J56" s="319">
        <v>1</v>
      </c>
      <c r="K56" s="394" t="str">
        <f t="shared" si="4"/>
        <v>Deficiencia de control mayor (diseño y ejecución)</v>
      </c>
      <c r="L56" s="413">
        <f t="shared" ref="L56" si="6">+IF(K56="",152,IF(K56="Deficiencia de control mayor (diseño y ejecución)",160,IF(K56="Deficiencia de control (diseño o ejecución)",180,IF(K56="Oportunidad de mejora",200,220))))</f>
        <v>160</v>
      </c>
      <c r="M56" s="460">
        <v>3.8456000000000001</v>
      </c>
      <c r="N56" s="460">
        <f>+L56+M56</f>
        <v>163.84559999999999</v>
      </c>
      <c r="O56" s="55"/>
    </row>
    <row r="57" spans="2:15" s="18" customFormat="1" ht="42.75" customHeight="1" x14ac:dyDescent="0.3">
      <c r="B57" s="307"/>
      <c r="C57" s="561"/>
      <c r="D57" s="314"/>
      <c r="E57" s="425"/>
      <c r="F57" s="320"/>
      <c r="G57" s="138">
        <v>2</v>
      </c>
      <c r="H57" s="138"/>
      <c r="I57" s="531"/>
      <c r="J57" s="320"/>
      <c r="K57" s="304"/>
      <c r="L57" s="413"/>
      <c r="M57" s="460"/>
      <c r="N57" s="460"/>
      <c r="O57" s="55"/>
    </row>
    <row r="58" spans="2:15" s="18" customFormat="1" ht="33" customHeight="1" thickBot="1" x14ac:dyDescent="0.35">
      <c r="B58" s="307"/>
      <c r="C58" s="561"/>
      <c r="D58" s="314"/>
      <c r="E58" s="425"/>
      <c r="F58" s="320"/>
      <c r="G58" s="138">
        <v>3</v>
      </c>
      <c r="H58" s="138"/>
      <c r="I58" s="531"/>
      <c r="J58" s="320"/>
      <c r="K58" s="304"/>
      <c r="L58" s="413"/>
      <c r="M58" s="460"/>
      <c r="N58" s="460"/>
      <c r="O58" s="55"/>
    </row>
    <row r="59" spans="2:15" s="18" customFormat="1" ht="10.5" hidden="1" customHeight="1" thickBot="1" x14ac:dyDescent="0.35">
      <c r="B59" s="307"/>
      <c r="C59" s="561"/>
      <c r="D59" s="314"/>
      <c r="E59" s="425"/>
      <c r="F59" s="320"/>
      <c r="G59" s="138">
        <v>4</v>
      </c>
      <c r="H59" s="138"/>
      <c r="I59" s="531"/>
      <c r="J59" s="320"/>
      <c r="K59" s="304"/>
      <c r="L59" s="413"/>
      <c r="M59" s="460"/>
      <c r="N59" s="460"/>
      <c r="O59" s="55"/>
    </row>
    <row r="60" spans="2:15" s="18" customFormat="1" ht="4.5" hidden="1" customHeight="1" thickBot="1" x14ac:dyDescent="0.35">
      <c r="B60" s="307"/>
      <c r="C60" s="561"/>
      <c r="D60" s="314"/>
      <c r="E60" s="425"/>
      <c r="F60" s="320"/>
      <c r="G60" s="138">
        <v>5</v>
      </c>
      <c r="H60" s="138"/>
      <c r="I60" s="531"/>
      <c r="J60" s="320"/>
      <c r="K60" s="304"/>
      <c r="L60" s="413"/>
      <c r="M60" s="460"/>
      <c r="N60" s="460"/>
      <c r="O60" s="55"/>
    </row>
    <row r="61" spans="2:15" s="18" customFormat="1" ht="21" hidden="1" customHeight="1" thickBot="1" x14ac:dyDescent="0.35">
      <c r="B61" s="307"/>
      <c r="C61" s="561"/>
      <c r="D61" s="314"/>
      <c r="E61" s="425"/>
      <c r="F61" s="320"/>
      <c r="G61" s="138">
        <v>6</v>
      </c>
      <c r="H61" s="138"/>
      <c r="I61" s="531"/>
      <c r="J61" s="320"/>
      <c r="K61" s="304"/>
      <c r="L61" s="413"/>
      <c r="M61" s="460"/>
      <c r="N61" s="460"/>
      <c r="O61" s="55"/>
    </row>
    <row r="62" spans="2:15" s="18" customFormat="1" ht="42.75" hidden="1" customHeight="1" thickBot="1" x14ac:dyDescent="0.35">
      <c r="B62" s="307"/>
      <c r="C62" s="561"/>
      <c r="D62" s="314"/>
      <c r="E62" s="425"/>
      <c r="F62" s="320"/>
      <c r="G62" s="138">
        <v>7</v>
      </c>
      <c r="H62" s="138"/>
      <c r="I62" s="531"/>
      <c r="J62" s="320"/>
      <c r="K62" s="304"/>
      <c r="L62" s="413"/>
      <c r="M62" s="460"/>
      <c r="N62" s="460"/>
      <c r="O62" s="55"/>
    </row>
    <row r="63" spans="2:15" s="18" customFormat="1" ht="42.75" hidden="1" customHeight="1" thickBot="1" x14ac:dyDescent="0.35">
      <c r="B63" s="308"/>
      <c r="C63" s="562"/>
      <c r="D63" s="315"/>
      <c r="E63" s="426"/>
      <c r="F63" s="321"/>
      <c r="G63" s="140">
        <v>8</v>
      </c>
      <c r="H63" s="140"/>
      <c r="I63" s="532"/>
      <c r="J63" s="321"/>
      <c r="K63" s="305"/>
      <c r="L63" s="413"/>
      <c r="M63" s="460"/>
      <c r="N63" s="460"/>
      <c r="O63" s="55"/>
    </row>
    <row r="64" spans="2:15" s="18" customFormat="1" ht="21.75" customHeight="1" x14ac:dyDescent="0.3">
      <c r="B64" s="306" t="str">
        <f>+LEFT(C64,4)</f>
        <v>11.3</v>
      </c>
      <c r="C64" s="560" t="s">
        <v>221</v>
      </c>
      <c r="D64" s="563" t="s">
        <v>222</v>
      </c>
      <c r="E64" s="566" t="s">
        <v>623</v>
      </c>
      <c r="F64" s="319">
        <v>1</v>
      </c>
      <c r="G64" s="141">
        <v>1</v>
      </c>
      <c r="H64" s="141"/>
      <c r="I64" s="444"/>
      <c r="J64" s="319">
        <v>1</v>
      </c>
      <c r="K64" s="394" t="str">
        <f t="shared" si="4"/>
        <v>Deficiencia de control mayor (diseño y ejecución)</v>
      </c>
      <c r="L64" s="413">
        <f t="shared" ref="L64" si="7">+IF(K64="",152,IF(K64="Deficiencia de control mayor (diseño y ejecución)",160,IF(K64="Deficiencia de control (diseño o ejecución)",180,IF(K64="Oportunidad de mejora",200,220))))</f>
        <v>160</v>
      </c>
      <c r="M64" s="460">
        <v>3.9653999999999998</v>
      </c>
      <c r="N64" s="460">
        <f>+L64+M64</f>
        <v>163.96539999999999</v>
      </c>
      <c r="O64" s="55"/>
    </row>
    <row r="65" spans="2:15" s="18" customFormat="1" ht="21.75" customHeight="1" x14ac:dyDescent="0.3">
      <c r="B65" s="307"/>
      <c r="C65" s="561"/>
      <c r="D65" s="564"/>
      <c r="E65" s="567"/>
      <c r="F65" s="320"/>
      <c r="G65" s="138">
        <v>2</v>
      </c>
      <c r="H65" s="138"/>
      <c r="I65" s="445"/>
      <c r="J65" s="320"/>
      <c r="K65" s="304"/>
      <c r="L65" s="413"/>
      <c r="M65" s="460"/>
      <c r="N65" s="460"/>
      <c r="O65" s="55"/>
    </row>
    <row r="66" spans="2:15" s="18" customFormat="1" ht="21.75" customHeight="1" x14ac:dyDescent="0.3">
      <c r="B66" s="307"/>
      <c r="C66" s="561"/>
      <c r="D66" s="564"/>
      <c r="E66" s="567"/>
      <c r="F66" s="320"/>
      <c r="G66" s="138">
        <v>3</v>
      </c>
      <c r="H66" s="138"/>
      <c r="I66" s="445"/>
      <c r="J66" s="320"/>
      <c r="K66" s="304"/>
      <c r="L66" s="413"/>
      <c r="M66" s="460"/>
      <c r="N66" s="460"/>
      <c r="O66" s="55"/>
    </row>
    <row r="67" spans="2:15" s="18" customFormat="1" ht="21.75" customHeight="1" x14ac:dyDescent="0.3">
      <c r="B67" s="307"/>
      <c r="C67" s="561"/>
      <c r="D67" s="564"/>
      <c r="E67" s="567"/>
      <c r="F67" s="320"/>
      <c r="G67" s="138">
        <v>4</v>
      </c>
      <c r="H67" s="138"/>
      <c r="I67" s="445"/>
      <c r="J67" s="320"/>
      <c r="K67" s="304"/>
      <c r="L67" s="413"/>
      <c r="M67" s="460"/>
      <c r="N67" s="460"/>
      <c r="O67" s="55"/>
    </row>
    <row r="68" spans="2:15" s="18" customFormat="1" ht="21.75" customHeight="1" x14ac:dyDescent="0.3">
      <c r="B68" s="307"/>
      <c r="C68" s="561"/>
      <c r="D68" s="564"/>
      <c r="E68" s="567"/>
      <c r="F68" s="320"/>
      <c r="G68" s="138">
        <v>5</v>
      </c>
      <c r="H68" s="138"/>
      <c r="I68" s="445"/>
      <c r="J68" s="320"/>
      <c r="K68" s="304"/>
      <c r="L68" s="413"/>
      <c r="M68" s="460"/>
      <c r="N68" s="460"/>
      <c r="O68" s="55"/>
    </row>
    <row r="69" spans="2:15" s="18" customFormat="1" ht="21.75" customHeight="1" x14ac:dyDescent="0.3">
      <c r="B69" s="307"/>
      <c r="C69" s="561"/>
      <c r="D69" s="564"/>
      <c r="E69" s="567"/>
      <c r="F69" s="320"/>
      <c r="G69" s="138">
        <v>6</v>
      </c>
      <c r="H69" s="138"/>
      <c r="I69" s="445"/>
      <c r="J69" s="320"/>
      <c r="K69" s="304"/>
      <c r="L69" s="413"/>
      <c r="M69" s="460"/>
      <c r="N69" s="460"/>
      <c r="O69" s="55"/>
    </row>
    <row r="70" spans="2:15" s="18" customFormat="1" ht="4.5" customHeight="1" thickBot="1" x14ac:dyDescent="0.35">
      <c r="B70" s="307"/>
      <c r="C70" s="561"/>
      <c r="D70" s="564"/>
      <c r="E70" s="567"/>
      <c r="F70" s="320"/>
      <c r="G70" s="138">
        <v>7</v>
      </c>
      <c r="H70" s="138"/>
      <c r="I70" s="445"/>
      <c r="J70" s="320"/>
      <c r="K70" s="304"/>
      <c r="L70" s="413"/>
      <c r="M70" s="460"/>
      <c r="N70" s="460"/>
      <c r="O70" s="55"/>
    </row>
    <row r="71" spans="2:15" s="18" customFormat="1" ht="21.75" hidden="1" customHeight="1" thickBot="1" x14ac:dyDescent="0.35">
      <c r="B71" s="308"/>
      <c r="C71" s="562"/>
      <c r="D71" s="565"/>
      <c r="E71" s="568"/>
      <c r="F71" s="321"/>
      <c r="G71" s="140">
        <v>8</v>
      </c>
      <c r="H71" s="140"/>
      <c r="I71" s="446"/>
      <c r="J71" s="321"/>
      <c r="K71" s="305"/>
      <c r="L71" s="413"/>
      <c r="M71" s="460"/>
      <c r="N71" s="460"/>
      <c r="O71" s="55"/>
    </row>
    <row r="72" spans="2:15" ht="33" x14ac:dyDescent="0.3">
      <c r="B72" s="306" t="str">
        <f>+LEFT(C72,4)</f>
        <v>11.4</v>
      </c>
      <c r="C72" s="376" t="s">
        <v>223</v>
      </c>
      <c r="D72" s="313" t="s">
        <v>224</v>
      </c>
      <c r="E72" s="530" t="s">
        <v>624</v>
      </c>
      <c r="F72" s="319">
        <v>3</v>
      </c>
      <c r="G72" s="141">
        <v>1</v>
      </c>
      <c r="H72" s="196" t="s">
        <v>524</v>
      </c>
      <c r="I72" s="433" t="s">
        <v>625</v>
      </c>
      <c r="J72" s="319">
        <v>2</v>
      </c>
      <c r="K72" s="394" t="str">
        <f t="shared" si="4"/>
        <v>Deficiencia de control (diseño o ejecución)</v>
      </c>
      <c r="L72" s="413">
        <f t="shared" ref="L72" si="8">+IF(K72="",152,IF(K72="Deficiencia de control mayor (diseño y ejecución)",160,IF(K72="Deficiencia de control (diseño o ejecución)",180,IF(K72="Oportunidad de mejora",200,220))))</f>
        <v>180</v>
      </c>
      <c r="M72" s="460">
        <v>4.0122999999999998</v>
      </c>
      <c r="N72" s="460">
        <f>+L72+M72</f>
        <v>184.01230000000001</v>
      </c>
    </row>
    <row r="73" spans="2:15" ht="16.5" x14ac:dyDescent="0.3">
      <c r="B73" s="307"/>
      <c r="C73" s="377"/>
      <c r="D73" s="314"/>
      <c r="E73" s="531"/>
      <c r="F73" s="320"/>
      <c r="G73" s="138">
        <v>2</v>
      </c>
      <c r="H73" s="138"/>
      <c r="I73" s="425"/>
      <c r="J73" s="320"/>
      <c r="K73" s="304"/>
      <c r="L73" s="413"/>
      <c r="M73" s="460"/>
      <c r="N73" s="460"/>
    </row>
    <row r="74" spans="2:15" ht="16.5" x14ac:dyDescent="0.3">
      <c r="B74" s="307"/>
      <c r="C74" s="377"/>
      <c r="D74" s="314"/>
      <c r="E74" s="531"/>
      <c r="F74" s="320"/>
      <c r="G74" s="138">
        <v>3</v>
      </c>
      <c r="H74" s="138"/>
      <c r="I74" s="425"/>
      <c r="J74" s="320"/>
      <c r="K74" s="304"/>
      <c r="L74" s="413"/>
      <c r="M74" s="460"/>
      <c r="N74" s="460"/>
    </row>
    <row r="75" spans="2:15" ht="16.5" x14ac:dyDescent="0.3">
      <c r="B75" s="307"/>
      <c r="C75" s="377"/>
      <c r="D75" s="314"/>
      <c r="E75" s="531"/>
      <c r="F75" s="320"/>
      <c r="G75" s="138">
        <v>4</v>
      </c>
      <c r="H75" s="138"/>
      <c r="I75" s="425"/>
      <c r="J75" s="320"/>
      <c r="K75" s="304"/>
      <c r="L75" s="413"/>
      <c r="M75" s="460"/>
      <c r="N75" s="460"/>
    </row>
    <row r="76" spans="2:15" ht="16.5" x14ac:dyDescent="0.3">
      <c r="B76" s="307"/>
      <c r="C76" s="377"/>
      <c r="D76" s="314"/>
      <c r="E76" s="531"/>
      <c r="F76" s="320"/>
      <c r="G76" s="138">
        <v>5</v>
      </c>
      <c r="H76" s="138"/>
      <c r="I76" s="425"/>
      <c r="J76" s="320"/>
      <c r="K76" s="304"/>
      <c r="L76" s="413"/>
      <c r="M76" s="460"/>
      <c r="N76" s="460"/>
    </row>
    <row r="77" spans="2:15" ht="16.5" x14ac:dyDescent="0.3">
      <c r="B77" s="307"/>
      <c r="C77" s="377"/>
      <c r="D77" s="314"/>
      <c r="E77" s="531"/>
      <c r="F77" s="320"/>
      <c r="G77" s="138">
        <v>6</v>
      </c>
      <c r="H77" s="138"/>
      <c r="I77" s="425"/>
      <c r="J77" s="320"/>
      <c r="K77" s="304"/>
      <c r="L77" s="413"/>
      <c r="M77" s="460"/>
      <c r="N77" s="460"/>
    </row>
    <row r="78" spans="2:15" ht="11.25" customHeight="1" thickBot="1" x14ac:dyDescent="0.35">
      <c r="B78" s="307"/>
      <c r="C78" s="377"/>
      <c r="D78" s="314"/>
      <c r="E78" s="531"/>
      <c r="F78" s="320"/>
      <c r="G78" s="138">
        <v>7</v>
      </c>
      <c r="H78" s="138"/>
      <c r="I78" s="425"/>
      <c r="J78" s="320"/>
      <c r="K78" s="304"/>
      <c r="L78" s="413"/>
      <c r="M78" s="460"/>
      <c r="N78" s="460"/>
    </row>
    <row r="79" spans="2:15" ht="17.25" hidden="1" thickBot="1" x14ac:dyDescent="0.35">
      <c r="B79" s="308"/>
      <c r="C79" s="378"/>
      <c r="D79" s="315"/>
      <c r="E79" s="532"/>
      <c r="F79" s="321"/>
      <c r="G79" s="140">
        <v>8</v>
      </c>
      <c r="H79" s="140"/>
      <c r="I79" s="426"/>
      <c r="J79" s="321"/>
      <c r="K79" s="305"/>
      <c r="L79" s="413"/>
      <c r="M79" s="460"/>
      <c r="N79" s="460"/>
    </row>
    <row r="80" spans="2:15" ht="22.5" customHeight="1" x14ac:dyDescent="0.3">
      <c r="B80" s="570"/>
      <c r="C80" s="570" t="s">
        <v>225</v>
      </c>
      <c r="D80" s="569" t="s">
        <v>8</v>
      </c>
      <c r="E80" s="548" t="s">
        <v>211</v>
      </c>
      <c r="F80" s="552" t="s">
        <v>175</v>
      </c>
      <c r="G80" s="583" t="s">
        <v>115</v>
      </c>
      <c r="H80" s="584"/>
      <c r="I80" s="584"/>
      <c r="J80" s="552" t="s">
        <v>212</v>
      </c>
      <c r="K80" s="590" t="s">
        <v>135</v>
      </c>
      <c r="L80" s="464"/>
      <c r="M80" s="464"/>
      <c r="N80" s="464"/>
    </row>
    <row r="81" spans="2:14" ht="22.5" customHeight="1" x14ac:dyDescent="0.3">
      <c r="B81" s="571"/>
      <c r="C81" s="571"/>
      <c r="D81" s="546"/>
      <c r="E81" s="549"/>
      <c r="F81" s="552"/>
      <c r="G81" s="556" t="s">
        <v>13</v>
      </c>
      <c r="H81" s="558" t="s">
        <v>15</v>
      </c>
      <c r="I81" s="558" t="s">
        <v>17</v>
      </c>
      <c r="J81" s="552"/>
      <c r="K81" s="590"/>
      <c r="L81" s="464"/>
      <c r="M81" s="464"/>
      <c r="N81" s="464"/>
    </row>
    <row r="82" spans="2:14" ht="75" customHeight="1" thickBot="1" x14ac:dyDescent="0.35">
      <c r="B82" s="572"/>
      <c r="C82" s="572"/>
      <c r="D82" s="547"/>
      <c r="E82" s="550"/>
      <c r="F82" s="581"/>
      <c r="G82" s="582"/>
      <c r="H82" s="559"/>
      <c r="I82" s="559"/>
      <c r="J82" s="581"/>
      <c r="K82" s="591"/>
      <c r="L82" s="464"/>
      <c r="M82" s="464"/>
      <c r="N82" s="464"/>
    </row>
    <row r="83" spans="2:14" ht="114" customHeight="1" x14ac:dyDescent="0.3">
      <c r="B83" s="306" t="str">
        <f>+LEFT(C83,4)</f>
        <v>12.1</v>
      </c>
      <c r="C83" s="376" t="s">
        <v>226</v>
      </c>
      <c r="D83" s="313" t="s">
        <v>227</v>
      </c>
      <c r="E83" s="530" t="s">
        <v>515</v>
      </c>
      <c r="F83" s="319">
        <v>3</v>
      </c>
      <c r="G83" s="141">
        <v>1</v>
      </c>
      <c r="H83" s="209" t="s">
        <v>626</v>
      </c>
      <c r="I83" s="533" t="s">
        <v>627</v>
      </c>
      <c r="J83" s="319">
        <v>2</v>
      </c>
      <c r="K83" s="394" t="str">
        <f t="shared" ref="K83:K115" si="9">+IF(OR(ISBLANK(F83),ISBLANK(J83)),"",IF(OR(AND(F83=1,J83=1),AND(F83=1,J83=2),AND(F83=1,J83=3)),"Deficiencia de control mayor (diseño y ejecución)",IF(OR(AND(F83=2,J83=2),AND(F83=3,J83=1),AND(F83=3,J83=2),AND(F83=2,J83=1)),"Deficiencia de control (diseño o ejecución)",IF(AND(F83=2,J83=3),"Oportunidad de mejora","Mantenimiento del control"))))</f>
        <v>Deficiencia de control (diseño o ejecución)</v>
      </c>
      <c r="L83" s="413">
        <f t="shared" ref="L83" si="10">+IF(K83="",152,IF(K83="Deficiencia de control mayor (diseño y ejecución)",160,IF(K83="Deficiencia de control (diseño o ejecución)",180,IF(K83="Oportunidad de mejora",200,220))))</f>
        <v>180</v>
      </c>
      <c r="M83" s="460">
        <v>4.1235999999999997</v>
      </c>
      <c r="N83" s="460">
        <f>+L83+M83</f>
        <v>184.12360000000001</v>
      </c>
    </row>
    <row r="84" spans="2:14" ht="28.5" hidden="1" customHeight="1" x14ac:dyDescent="0.3">
      <c r="B84" s="307"/>
      <c r="C84" s="377"/>
      <c r="D84" s="314"/>
      <c r="E84" s="531"/>
      <c r="F84" s="320"/>
      <c r="G84" s="138">
        <v>2</v>
      </c>
      <c r="H84" s="218"/>
      <c r="I84" s="534"/>
      <c r="J84" s="320"/>
      <c r="K84" s="304"/>
      <c r="L84" s="413"/>
      <c r="M84" s="460"/>
      <c r="N84" s="460"/>
    </row>
    <row r="85" spans="2:14" ht="2.25" customHeight="1" thickBot="1" x14ac:dyDescent="0.35">
      <c r="B85" s="307"/>
      <c r="C85" s="377"/>
      <c r="D85" s="314"/>
      <c r="E85" s="531"/>
      <c r="F85" s="320"/>
      <c r="G85" s="138">
        <v>3</v>
      </c>
      <c r="H85" s="218"/>
      <c r="I85" s="534"/>
      <c r="J85" s="320"/>
      <c r="K85" s="304"/>
      <c r="L85" s="413"/>
      <c r="M85" s="460"/>
      <c r="N85" s="460"/>
    </row>
    <row r="86" spans="2:14" ht="28.5" hidden="1" customHeight="1" thickBot="1" x14ac:dyDescent="0.35">
      <c r="B86" s="307"/>
      <c r="C86" s="377"/>
      <c r="D86" s="314"/>
      <c r="E86" s="531"/>
      <c r="F86" s="320"/>
      <c r="G86" s="138">
        <v>4</v>
      </c>
      <c r="H86" s="218"/>
      <c r="I86" s="534"/>
      <c r="J86" s="320"/>
      <c r="K86" s="304"/>
      <c r="L86" s="413"/>
      <c r="M86" s="460"/>
      <c r="N86" s="460"/>
    </row>
    <row r="87" spans="2:14" ht="0.75" hidden="1" customHeight="1" thickBot="1" x14ac:dyDescent="0.35">
      <c r="B87" s="307"/>
      <c r="C87" s="377"/>
      <c r="D87" s="314"/>
      <c r="E87" s="531"/>
      <c r="F87" s="320"/>
      <c r="G87" s="138">
        <v>5</v>
      </c>
      <c r="H87" s="218"/>
      <c r="I87" s="534"/>
      <c r="J87" s="320"/>
      <c r="K87" s="304"/>
      <c r="L87" s="413"/>
      <c r="M87" s="460"/>
      <c r="N87" s="460"/>
    </row>
    <row r="88" spans="2:14" ht="8.25" hidden="1" customHeight="1" thickBot="1" x14ac:dyDescent="0.35">
      <c r="B88" s="307"/>
      <c r="C88" s="377"/>
      <c r="D88" s="314"/>
      <c r="E88" s="531"/>
      <c r="F88" s="320"/>
      <c r="G88" s="138">
        <v>6</v>
      </c>
      <c r="H88" s="218"/>
      <c r="I88" s="534"/>
      <c r="J88" s="320"/>
      <c r="K88" s="304"/>
      <c r="L88" s="413"/>
      <c r="M88" s="460"/>
      <c r="N88" s="460"/>
    </row>
    <row r="89" spans="2:14" ht="28.5" hidden="1" customHeight="1" thickBot="1" x14ac:dyDescent="0.35">
      <c r="B89" s="307"/>
      <c r="C89" s="377"/>
      <c r="D89" s="314"/>
      <c r="E89" s="531"/>
      <c r="F89" s="320"/>
      <c r="G89" s="138">
        <v>7</v>
      </c>
      <c r="H89" s="218"/>
      <c r="I89" s="534"/>
      <c r="J89" s="320"/>
      <c r="K89" s="304"/>
      <c r="L89" s="413"/>
      <c r="M89" s="460"/>
      <c r="N89" s="460"/>
    </row>
    <row r="90" spans="2:14" ht="28.5" hidden="1" customHeight="1" thickBot="1" x14ac:dyDescent="0.35">
      <c r="B90" s="308"/>
      <c r="C90" s="378"/>
      <c r="D90" s="315"/>
      <c r="E90" s="532"/>
      <c r="F90" s="321"/>
      <c r="G90" s="140">
        <v>8</v>
      </c>
      <c r="H90" s="219"/>
      <c r="I90" s="535"/>
      <c r="J90" s="321"/>
      <c r="K90" s="305"/>
      <c r="L90" s="413"/>
      <c r="M90" s="460"/>
      <c r="N90" s="460"/>
    </row>
    <row r="91" spans="2:14" ht="27" customHeight="1" x14ac:dyDescent="0.3">
      <c r="B91" s="306" t="str">
        <f>+LEFT(C91,4)</f>
        <v>12.2</v>
      </c>
      <c r="C91" s="560" t="s">
        <v>228</v>
      </c>
      <c r="D91" s="563" t="s">
        <v>229</v>
      </c>
      <c r="E91" s="530" t="s">
        <v>448</v>
      </c>
      <c r="F91" s="319">
        <v>3</v>
      </c>
      <c r="G91" s="141">
        <v>1</v>
      </c>
      <c r="H91" s="195" t="s">
        <v>449</v>
      </c>
      <c r="I91" s="536" t="s">
        <v>628</v>
      </c>
      <c r="J91" s="319">
        <v>2</v>
      </c>
      <c r="K91" s="394" t="str">
        <f t="shared" si="9"/>
        <v>Deficiencia de control (diseño o ejecución)</v>
      </c>
      <c r="L91" s="413">
        <f t="shared" ref="L91" si="11">+IF(K91="",152,IF(K91="Deficiencia de control mayor (diseño y ejecución)",160,IF(K91="Deficiencia de control (diseño o ejecución)",180,IF(K91="Oportunidad de mejora",200,220))))</f>
        <v>180</v>
      </c>
      <c r="M91" s="460">
        <v>4.2365000000000004</v>
      </c>
      <c r="N91" s="539">
        <f>+L91+M91</f>
        <v>184.23650000000001</v>
      </c>
    </row>
    <row r="92" spans="2:14" ht="27" customHeight="1" x14ac:dyDescent="0.3">
      <c r="B92" s="307"/>
      <c r="C92" s="561"/>
      <c r="D92" s="564"/>
      <c r="E92" s="531"/>
      <c r="F92" s="320"/>
      <c r="G92" s="138">
        <v>2</v>
      </c>
      <c r="H92" s="138"/>
      <c r="I92" s="537"/>
      <c r="J92" s="320"/>
      <c r="K92" s="304"/>
      <c r="L92" s="413"/>
      <c r="M92" s="460"/>
      <c r="N92" s="539"/>
    </row>
    <row r="93" spans="2:14" ht="27" customHeight="1" x14ac:dyDescent="0.3">
      <c r="B93" s="307"/>
      <c r="C93" s="561"/>
      <c r="D93" s="564"/>
      <c r="E93" s="531"/>
      <c r="F93" s="320"/>
      <c r="G93" s="138">
        <v>3</v>
      </c>
      <c r="H93" s="138"/>
      <c r="I93" s="537"/>
      <c r="J93" s="320"/>
      <c r="K93" s="304"/>
      <c r="L93" s="413"/>
      <c r="M93" s="460"/>
      <c r="N93" s="539"/>
    </row>
    <row r="94" spans="2:14" ht="27" customHeight="1" x14ac:dyDescent="0.3">
      <c r="B94" s="307"/>
      <c r="C94" s="561"/>
      <c r="D94" s="564"/>
      <c r="E94" s="531"/>
      <c r="F94" s="320"/>
      <c r="G94" s="138">
        <v>4</v>
      </c>
      <c r="H94" s="138"/>
      <c r="I94" s="537"/>
      <c r="J94" s="320"/>
      <c r="K94" s="304"/>
      <c r="L94" s="413"/>
      <c r="M94" s="460"/>
      <c r="N94" s="539"/>
    </row>
    <row r="95" spans="2:14" ht="27" customHeight="1" x14ac:dyDescent="0.3">
      <c r="B95" s="307"/>
      <c r="C95" s="561"/>
      <c r="D95" s="564"/>
      <c r="E95" s="531"/>
      <c r="F95" s="320"/>
      <c r="G95" s="138">
        <v>5</v>
      </c>
      <c r="H95" s="138"/>
      <c r="I95" s="537"/>
      <c r="J95" s="320"/>
      <c r="K95" s="304"/>
      <c r="L95" s="413"/>
      <c r="M95" s="460"/>
      <c r="N95" s="539"/>
    </row>
    <row r="96" spans="2:14" ht="9.75" customHeight="1" thickBot="1" x14ac:dyDescent="0.35">
      <c r="B96" s="307"/>
      <c r="C96" s="561"/>
      <c r="D96" s="564"/>
      <c r="E96" s="531"/>
      <c r="F96" s="320"/>
      <c r="G96" s="138">
        <v>6</v>
      </c>
      <c r="H96" s="138"/>
      <c r="I96" s="537"/>
      <c r="J96" s="320"/>
      <c r="K96" s="304"/>
      <c r="L96" s="413"/>
      <c r="M96" s="460"/>
      <c r="N96" s="539"/>
    </row>
    <row r="97" spans="2:14" ht="12" hidden="1" customHeight="1" thickBot="1" x14ac:dyDescent="0.35">
      <c r="B97" s="307"/>
      <c r="C97" s="561"/>
      <c r="D97" s="564"/>
      <c r="E97" s="531"/>
      <c r="F97" s="320"/>
      <c r="G97" s="138">
        <v>7</v>
      </c>
      <c r="H97" s="138"/>
      <c r="I97" s="537"/>
      <c r="J97" s="320"/>
      <c r="K97" s="304"/>
      <c r="L97" s="413"/>
      <c r="M97" s="460"/>
      <c r="N97" s="539"/>
    </row>
    <row r="98" spans="2:14" ht="27" hidden="1" customHeight="1" thickBot="1" x14ac:dyDescent="0.35">
      <c r="B98" s="308"/>
      <c r="C98" s="562"/>
      <c r="D98" s="565"/>
      <c r="E98" s="532"/>
      <c r="F98" s="321"/>
      <c r="G98" s="140">
        <v>8</v>
      </c>
      <c r="H98" s="140"/>
      <c r="I98" s="538"/>
      <c r="J98" s="321"/>
      <c r="K98" s="305"/>
      <c r="L98" s="413"/>
      <c r="M98" s="460"/>
      <c r="N98" s="539"/>
    </row>
    <row r="99" spans="2:14" ht="16.5" x14ac:dyDescent="0.3">
      <c r="B99" s="306" t="str">
        <f>+LEFT(C99,4)</f>
        <v>12.3</v>
      </c>
      <c r="C99" s="573" t="s">
        <v>230</v>
      </c>
      <c r="D99" s="313" t="s">
        <v>231</v>
      </c>
      <c r="E99" s="536" t="s">
        <v>445</v>
      </c>
      <c r="F99" s="319">
        <v>3</v>
      </c>
      <c r="G99" s="141">
        <v>1</v>
      </c>
      <c r="H99" s="220" t="s">
        <v>629</v>
      </c>
      <c r="I99" s="536" t="s">
        <v>630</v>
      </c>
      <c r="J99" s="319">
        <v>2</v>
      </c>
      <c r="K99" s="394" t="str">
        <f t="shared" si="9"/>
        <v>Deficiencia de control (diseño o ejecución)</v>
      </c>
      <c r="L99" s="413">
        <f t="shared" ref="L99" si="12">+IF(K99="",152,IF(K99="Deficiencia de control mayor (diseño y ejecución)",160,IF(K99="Deficiencia de control (diseño o ejecución)",180,IF(K99="Oportunidad de mejora",200,220))))</f>
        <v>180</v>
      </c>
      <c r="M99" s="460">
        <v>4.2365599999999999</v>
      </c>
      <c r="N99" s="539">
        <f>+L99+M99</f>
        <v>184.23656</v>
      </c>
    </row>
    <row r="100" spans="2:14" ht="16.5" x14ac:dyDescent="0.3">
      <c r="B100" s="307"/>
      <c r="C100" s="574"/>
      <c r="D100" s="314"/>
      <c r="E100" s="576"/>
      <c r="F100" s="320"/>
      <c r="G100" s="138">
        <v>2</v>
      </c>
      <c r="H100" s="208"/>
      <c r="I100" s="576"/>
      <c r="J100" s="320"/>
      <c r="K100" s="304"/>
      <c r="L100" s="413"/>
      <c r="M100" s="460"/>
      <c r="N100" s="539"/>
    </row>
    <row r="101" spans="2:14" ht="16.5" x14ac:dyDescent="0.3">
      <c r="B101" s="307"/>
      <c r="C101" s="574"/>
      <c r="D101" s="314"/>
      <c r="E101" s="576"/>
      <c r="F101" s="320"/>
      <c r="G101" s="138">
        <v>3</v>
      </c>
      <c r="H101" s="138"/>
      <c r="I101" s="576"/>
      <c r="J101" s="320"/>
      <c r="K101" s="304"/>
      <c r="L101" s="413"/>
      <c r="M101" s="460"/>
      <c r="N101" s="539"/>
    </row>
    <row r="102" spans="2:14" ht="16.5" x14ac:dyDescent="0.3">
      <c r="B102" s="307"/>
      <c r="C102" s="574"/>
      <c r="D102" s="314"/>
      <c r="E102" s="576"/>
      <c r="F102" s="320"/>
      <c r="G102" s="138">
        <v>4</v>
      </c>
      <c r="H102" s="138"/>
      <c r="I102" s="576"/>
      <c r="J102" s="320"/>
      <c r="K102" s="304"/>
      <c r="L102" s="413"/>
      <c r="M102" s="460"/>
      <c r="N102" s="539"/>
    </row>
    <row r="103" spans="2:14" ht="16.5" x14ac:dyDescent="0.3">
      <c r="B103" s="307"/>
      <c r="C103" s="574"/>
      <c r="D103" s="314"/>
      <c r="E103" s="576"/>
      <c r="F103" s="320"/>
      <c r="G103" s="138">
        <v>5</v>
      </c>
      <c r="H103" s="138"/>
      <c r="I103" s="576"/>
      <c r="J103" s="320"/>
      <c r="K103" s="304"/>
      <c r="L103" s="413"/>
      <c r="M103" s="460"/>
      <c r="N103" s="539"/>
    </row>
    <row r="104" spans="2:14" ht="16.5" x14ac:dyDescent="0.3">
      <c r="B104" s="307"/>
      <c r="C104" s="574"/>
      <c r="D104" s="314"/>
      <c r="E104" s="576"/>
      <c r="F104" s="320"/>
      <c r="G104" s="138">
        <v>6</v>
      </c>
      <c r="H104" s="138"/>
      <c r="I104" s="576"/>
      <c r="J104" s="320"/>
      <c r="K104" s="304"/>
      <c r="L104" s="413"/>
      <c r="M104" s="460"/>
      <c r="N104" s="539"/>
    </row>
    <row r="105" spans="2:14" ht="16.5" x14ac:dyDescent="0.3">
      <c r="B105" s="307"/>
      <c r="C105" s="574"/>
      <c r="D105" s="314"/>
      <c r="E105" s="576"/>
      <c r="F105" s="320"/>
      <c r="G105" s="138">
        <v>7</v>
      </c>
      <c r="H105" s="138"/>
      <c r="I105" s="576"/>
      <c r="J105" s="320"/>
      <c r="K105" s="304"/>
      <c r="L105" s="413"/>
      <c r="M105" s="460"/>
      <c r="N105" s="539"/>
    </row>
    <row r="106" spans="2:14" ht="17.25" thickBot="1" x14ac:dyDescent="0.35">
      <c r="B106" s="308"/>
      <c r="C106" s="575"/>
      <c r="D106" s="315"/>
      <c r="E106" s="577"/>
      <c r="F106" s="321"/>
      <c r="G106" s="140">
        <v>8</v>
      </c>
      <c r="H106" s="140"/>
      <c r="I106" s="577"/>
      <c r="J106" s="321"/>
      <c r="K106" s="305"/>
      <c r="L106" s="413"/>
      <c r="M106" s="460"/>
      <c r="N106" s="539"/>
    </row>
    <row r="107" spans="2:14" ht="54.75" customHeight="1" thickBot="1" x14ac:dyDescent="0.35">
      <c r="B107" s="306" t="str">
        <f>+LEFT(C107,4)</f>
        <v>12.4</v>
      </c>
      <c r="C107" s="573" t="s">
        <v>232</v>
      </c>
      <c r="D107" s="563" t="s">
        <v>233</v>
      </c>
      <c r="E107" s="533" t="s">
        <v>631</v>
      </c>
      <c r="F107" s="319">
        <v>3</v>
      </c>
      <c r="G107" s="141">
        <v>1</v>
      </c>
      <c r="H107" s="197" t="s">
        <v>500</v>
      </c>
      <c r="I107" s="576" t="s">
        <v>632</v>
      </c>
      <c r="J107" s="319">
        <v>2</v>
      </c>
      <c r="K107" s="394" t="str">
        <f t="shared" si="9"/>
        <v>Deficiencia de control (diseño o ejecución)</v>
      </c>
      <c r="L107" s="413">
        <f t="shared" ref="L107" si="13">+IF(K107="",152,IF(K107="Deficiencia de control mayor (diseño y ejecución)",160,IF(K107="Deficiencia de control (diseño o ejecución)",180,IF(K107="Oportunidad de mejora",200,220))))</f>
        <v>180</v>
      </c>
      <c r="M107" s="460">
        <v>4.2365680000000001</v>
      </c>
      <c r="N107" s="539">
        <f>+L107+M107</f>
        <v>184.23656800000001</v>
      </c>
    </row>
    <row r="108" spans="2:14" ht="34.5" customHeight="1" x14ac:dyDescent="0.3">
      <c r="B108" s="307"/>
      <c r="C108" s="574"/>
      <c r="D108" s="564"/>
      <c r="E108" s="534"/>
      <c r="F108" s="320"/>
      <c r="G108" s="138">
        <v>2</v>
      </c>
      <c r="H108" s="217" t="s">
        <v>525</v>
      </c>
      <c r="I108" s="576"/>
      <c r="J108" s="320"/>
      <c r="K108" s="304"/>
      <c r="L108" s="413"/>
      <c r="M108" s="460"/>
      <c r="N108" s="539"/>
    </row>
    <row r="109" spans="2:14" ht="27" customHeight="1" x14ac:dyDescent="0.3">
      <c r="B109" s="307"/>
      <c r="C109" s="574"/>
      <c r="D109" s="564"/>
      <c r="E109" s="534"/>
      <c r="F109" s="320"/>
      <c r="G109" s="138">
        <v>3</v>
      </c>
      <c r="H109" s="138"/>
      <c r="I109" s="576"/>
      <c r="J109" s="320"/>
      <c r="K109" s="304"/>
      <c r="L109" s="413"/>
      <c r="M109" s="460"/>
      <c r="N109" s="539"/>
    </row>
    <row r="110" spans="2:14" ht="27" customHeight="1" x14ac:dyDescent="0.3">
      <c r="B110" s="307"/>
      <c r="C110" s="574"/>
      <c r="D110" s="564"/>
      <c r="E110" s="534"/>
      <c r="F110" s="320"/>
      <c r="G110" s="138">
        <v>4</v>
      </c>
      <c r="H110" s="138"/>
      <c r="I110" s="576"/>
      <c r="J110" s="320"/>
      <c r="K110" s="304"/>
      <c r="L110" s="413"/>
      <c r="M110" s="460"/>
      <c r="N110" s="539"/>
    </row>
    <row r="111" spans="2:14" ht="27" customHeight="1" x14ac:dyDescent="0.3">
      <c r="B111" s="307"/>
      <c r="C111" s="574"/>
      <c r="D111" s="564"/>
      <c r="E111" s="534"/>
      <c r="F111" s="320"/>
      <c r="G111" s="138">
        <v>5</v>
      </c>
      <c r="H111" s="138"/>
      <c r="I111" s="576"/>
      <c r="J111" s="320"/>
      <c r="K111" s="304"/>
      <c r="L111" s="413"/>
      <c r="M111" s="460"/>
      <c r="N111" s="539"/>
    </row>
    <row r="112" spans="2:14" ht="16.5" customHeight="1" thickBot="1" x14ac:dyDescent="0.35">
      <c r="B112" s="307"/>
      <c r="C112" s="574"/>
      <c r="D112" s="564"/>
      <c r="E112" s="534"/>
      <c r="F112" s="320"/>
      <c r="G112" s="138">
        <v>6</v>
      </c>
      <c r="H112" s="138"/>
      <c r="I112" s="576"/>
      <c r="J112" s="320"/>
      <c r="K112" s="304"/>
      <c r="L112" s="413"/>
      <c r="M112" s="460"/>
      <c r="N112" s="539"/>
    </row>
    <row r="113" spans="2:14" ht="9.75" hidden="1" customHeight="1" thickBot="1" x14ac:dyDescent="0.35">
      <c r="B113" s="307"/>
      <c r="C113" s="574"/>
      <c r="D113" s="564"/>
      <c r="E113" s="534"/>
      <c r="F113" s="320"/>
      <c r="G113" s="138">
        <v>7</v>
      </c>
      <c r="H113" s="138"/>
      <c r="I113" s="576"/>
      <c r="J113" s="320"/>
      <c r="K113" s="304"/>
      <c r="L113" s="413"/>
      <c r="M113" s="460"/>
      <c r="N113" s="539"/>
    </row>
    <row r="114" spans="2:14" ht="27" hidden="1" customHeight="1" thickBot="1" x14ac:dyDescent="0.35">
      <c r="B114" s="308"/>
      <c r="C114" s="575"/>
      <c r="D114" s="565"/>
      <c r="E114" s="535"/>
      <c r="F114" s="321"/>
      <c r="G114" s="140">
        <v>8</v>
      </c>
      <c r="H114" s="140"/>
      <c r="I114" s="577"/>
      <c r="J114" s="321"/>
      <c r="K114" s="305"/>
      <c r="L114" s="413"/>
      <c r="M114" s="460"/>
      <c r="N114" s="539"/>
    </row>
    <row r="115" spans="2:14" ht="22.5" customHeight="1" x14ac:dyDescent="0.3">
      <c r="B115" s="306" t="str">
        <f>+LEFT(C115,4)</f>
        <v>12.5</v>
      </c>
      <c r="C115" s="376" t="s">
        <v>234</v>
      </c>
      <c r="D115" s="313" t="s">
        <v>235</v>
      </c>
      <c r="E115" s="433" t="s">
        <v>633</v>
      </c>
      <c r="F115" s="319">
        <v>2</v>
      </c>
      <c r="G115" s="141">
        <v>1</v>
      </c>
      <c r="H115" s="141"/>
      <c r="I115" s="433" t="s">
        <v>501</v>
      </c>
      <c r="J115" s="319">
        <v>2</v>
      </c>
      <c r="K115" s="394" t="str">
        <f t="shared" si="9"/>
        <v>Deficiencia de control (diseño o ejecución)</v>
      </c>
      <c r="L115" s="413">
        <f t="shared" ref="L115" si="14">+IF(K115="",152,IF(K115="Deficiencia de control mayor (diseño y ejecución)",160,IF(K115="Deficiencia de control (diseño o ejecución)",180,IF(K115="Oportunidad de mejora",200,220))))</f>
        <v>180</v>
      </c>
      <c r="M115" s="460">
        <v>4.3569000000000004</v>
      </c>
      <c r="N115" s="460">
        <f>+L115+M115</f>
        <v>184.3569</v>
      </c>
    </row>
    <row r="116" spans="2:14" ht="22.5" customHeight="1" x14ac:dyDescent="0.3">
      <c r="B116" s="307"/>
      <c r="C116" s="377"/>
      <c r="D116" s="314"/>
      <c r="E116" s="425"/>
      <c r="F116" s="320"/>
      <c r="G116" s="138">
        <v>2</v>
      </c>
      <c r="H116" s="220" t="s">
        <v>526</v>
      </c>
      <c r="I116" s="425"/>
      <c r="J116" s="320"/>
      <c r="K116" s="304"/>
      <c r="L116" s="413"/>
      <c r="M116" s="460"/>
      <c r="N116" s="460"/>
    </row>
    <row r="117" spans="2:14" ht="22.5" customHeight="1" x14ac:dyDescent="0.3">
      <c r="B117" s="307"/>
      <c r="C117" s="377"/>
      <c r="D117" s="314"/>
      <c r="E117" s="425"/>
      <c r="F117" s="320"/>
      <c r="G117" s="138">
        <v>3</v>
      </c>
      <c r="H117" s="138"/>
      <c r="I117" s="425"/>
      <c r="J117" s="320"/>
      <c r="K117" s="304"/>
      <c r="L117" s="413"/>
      <c r="M117" s="460"/>
      <c r="N117" s="460"/>
    </row>
    <row r="118" spans="2:14" ht="22.5" customHeight="1" x14ac:dyDescent="0.3">
      <c r="B118" s="307"/>
      <c r="C118" s="377"/>
      <c r="D118" s="314"/>
      <c r="E118" s="425"/>
      <c r="F118" s="320"/>
      <c r="G118" s="138">
        <v>4</v>
      </c>
      <c r="H118" s="138"/>
      <c r="I118" s="425"/>
      <c r="J118" s="320"/>
      <c r="K118" s="304"/>
      <c r="L118" s="413"/>
      <c r="M118" s="460"/>
      <c r="N118" s="460"/>
    </row>
    <row r="119" spans="2:14" ht="22.5" customHeight="1" x14ac:dyDescent="0.3">
      <c r="B119" s="307"/>
      <c r="C119" s="377"/>
      <c r="D119" s="314"/>
      <c r="E119" s="425"/>
      <c r="F119" s="320"/>
      <c r="G119" s="138">
        <v>5</v>
      </c>
      <c r="H119" s="138"/>
      <c r="I119" s="425"/>
      <c r="J119" s="320"/>
      <c r="K119" s="304"/>
      <c r="L119" s="413"/>
      <c r="M119" s="460"/>
      <c r="N119" s="460"/>
    </row>
    <row r="120" spans="2:14" ht="19.5" customHeight="1" x14ac:dyDescent="0.3">
      <c r="B120" s="307"/>
      <c r="C120" s="377"/>
      <c r="D120" s="314"/>
      <c r="E120" s="425"/>
      <c r="F120" s="320"/>
      <c r="G120" s="138">
        <v>6</v>
      </c>
      <c r="H120" s="138"/>
      <c r="I120" s="425"/>
      <c r="J120" s="320"/>
      <c r="K120" s="304"/>
      <c r="L120" s="413"/>
      <c r="M120" s="460"/>
      <c r="N120" s="460"/>
    </row>
    <row r="121" spans="2:14" ht="22.5" hidden="1" customHeight="1" x14ac:dyDescent="0.3">
      <c r="B121" s="307"/>
      <c r="C121" s="377"/>
      <c r="D121" s="314"/>
      <c r="E121" s="425"/>
      <c r="F121" s="320"/>
      <c r="G121" s="138">
        <v>7</v>
      </c>
      <c r="H121" s="138"/>
      <c r="I121" s="425"/>
      <c r="J121" s="320"/>
      <c r="K121" s="304"/>
      <c r="L121" s="413"/>
      <c r="M121" s="460"/>
      <c r="N121" s="460"/>
    </row>
    <row r="122" spans="2:14" ht="22.5" hidden="1" customHeight="1" thickBot="1" x14ac:dyDescent="0.35">
      <c r="B122" s="308"/>
      <c r="C122" s="378"/>
      <c r="D122" s="315"/>
      <c r="E122" s="426"/>
      <c r="F122" s="321"/>
      <c r="G122" s="140">
        <v>8</v>
      </c>
      <c r="H122" s="140"/>
      <c r="I122" s="426"/>
      <c r="J122" s="321"/>
      <c r="K122" s="305"/>
      <c r="L122" s="413"/>
      <c r="M122" s="460"/>
      <c r="N122" s="460"/>
    </row>
    <row r="123" spans="2:14" ht="22.5" customHeight="1" x14ac:dyDescent="0.3">
      <c r="D123" s="110"/>
    </row>
    <row r="124" spans="2:14" ht="22.5" customHeight="1" x14ac:dyDescent="0.3">
      <c r="D124" s="110"/>
    </row>
    <row r="125" spans="2:14" ht="22.5" customHeight="1" x14ac:dyDescent="0.3">
      <c r="D125" s="110"/>
    </row>
    <row r="126" spans="2:14" ht="22.5" customHeight="1" x14ac:dyDescent="0.3">
      <c r="D126" s="110"/>
    </row>
    <row r="127" spans="2:14" ht="22.5" customHeight="1" x14ac:dyDescent="0.3">
      <c r="D127" s="110"/>
    </row>
    <row r="128" spans="2:14" ht="22.5" customHeight="1" x14ac:dyDescent="0.3">
      <c r="D128" s="110"/>
    </row>
    <row r="129" spans="4:4" ht="22.5" customHeight="1" x14ac:dyDescent="0.3">
      <c r="D129" s="110"/>
    </row>
    <row r="130" spans="4:4" ht="22.5" customHeight="1" x14ac:dyDescent="0.3">
      <c r="D130" s="110"/>
    </row>
    <row r="131" spans="4:4" ht="22.5" customHeight="1" x14ac:dyDescent="0.3">
      <c r="D131" s="110"/>
    </row>
    <row r="132" spans="4:4" ht="22.5" customHeight="1" x14ac:dyDescent="0.3">
      <c r="D132" s="110"/>
    </row>
    <row r="133" spans="4:4" ht="22.5" customHeight="1" x14ac:dyDescent="0.3">
      <c r="D133" s="110"/>
    </row>
    <row r="134" spans="4:4" ht="22.5" customHeight="1" x14ac:dyDescent="0.3">
      <c r="D134" s="110"/>
    </row>
    <row r="135" spans="4:4" ht="22.5" customHeight="1" x14ac:dyDescent="0.3">
      <c r="D135" s="110"/>
    </row>
    <row r="136" spans="4:4" ht="22.5" customHeight="1" x14ac:dyDescent="0.3">
      <c r="D136" s="110"/>
    </row>
    <row r="137" spans="4:4" ht="22.5" customHeight="1" x14ac:dyDescent="0.3">
      <c r="D137" s="110"/>
    </row>
    <row r="138" spans="4:4" ht="22.5" customHeight="1" x14ac:dyDescent="0.3">
      <c r="D138" s="110"/>
    </row>
    <row r="139" spans="4:4" ht="22.5" customHeight="1" x14ac:dyDescent="0.3">
      <c r="D139" s="110"/>
    </row>
    <row r="140" spans="4:4" ht="22.5" customHeight="1" x14ac:dyDescent="0.3">
      <c r="D140" s="110"/>
    </row>
    <row r="141" spans="4:4" ht="22.5" customHeight="1" x14ac:dyDescent="0.3">
      <c r="D141" s="110"/>
    </row>
    <row r="142" spans="4:4" ht="22.5" customHeight="1" x14ac:dyDescent="0.3">
      <c r="D142" s="110"/>
    </row>
    <row r="143" spans="4:4" ht="22.5" customHeight="1" x14ac:dyDescent="0.3">
      <c r="D143" s="110"/>
    </row>
    <row r="144" spans="4:4" ht="22.5" customHeight="1" x14ac:dyDescent="0.3">
      <c r="D144" s="110"/>
    </row>
    <row r="145" spans="4:4" ht="22.5" customHeight="1" x14ac:dyDescent="0.3">
      <c r="D145" s="110"/>
    </row>
    <row r="146" spans="4:4" ht="22.5" customHeight="1" x14ac:dyDescent="0.3">
      <c r="D146" s="110"/>
    </row>
    <row r="147" spans="4:4" ht="22.5" customHeight="1" x14ac:dyDescent="0.3">
      <c r="D147" s="110"/>
    </row>
    <row r="148" spans="4:4" ht="22.5" customHeight="1" x14ac:dyDescent="0.3">
      <c r="D148" s="110"/>
    </row>
    <row r="149" spans="4:4" ht="22.5" customHeight="1" x14ac:dyDescent="0.3">
      <c r="D149" s="110"/>
    </row>
    <row r="150" spans="4:4" ht="22.5" customHeight="1" x14ac:dyDescent="0.3">
      <c r="D150" s="110"/>
    </row>
    <row r="151" spans="4:4" ht="22.5" customHeight="1" x14ac:dyDescent="0.3">
      <c r="D151" s="110"/>
    </row>
    <row r="152" spans="4:4" ht="22.5" customHeight="1" x14ac:dyDescent="0.3">
      <c r="D152" s="110"/>
    </row>
    <row r="153" spans="4:4" ht="22.5" customHeight="1" x14ac:dyDescent="0.3">
      <c r="D153" s="110"/>
    </row>
    <row r="154" spans="4:4" ht="22.5" customHeight="1" x14ac:dyDescent="0.3">
      <c r="D154" s="110"/>
    </row>
    <row r="155" spans="4:4" ht="22.5" customHeight="1" x14ac:dyDescent="0.3">
      <c r="D155" s="110"/>
    </row>
    <row r="156" spans="4:4" ht="22.5" customHeight="1" x14ac:dyDescent="0.3">
      <c r="D156" s="110"/>
    </row>
    <row r="157" spans="4:4" ht="22.5" customHeight="1" x14ac:dyDescent="0.3">
      <c r="D157" s="110"/>
    </row>
    <row r="158" spans="4:4" ht="22.5" customHeight="1" x14ac:dyDescent="0.3">
      <c r="D158" s="110"/>
    </row>
    <row r="159" spans="4:4" ht="22.5" customHeight="1" x14ac:dyDescent="0.3">
      <c r="D159" s="110"/>
    </row>
    <row r="160" spans="4:4" ht="22.5" customHeight="1" x14ac:dyDescent="0.3">
      <c r="D160" s="110"/>
    </row>
    <row r="161" spans="4:4" ht="22.5" customHeight="1" x14ac:dyDescent="0.3">
      <c r="D161" s="110"/>
    </row>
    <row r="162" spans="4:4" ht="22.5" customHeight="1" x14ac:dyDescent="0.3">
      <c r="D162" s="110"/>
    </row>
    <row r="163" spans="4:4" ht="22.5" customHeight="1" x14ac:dyDescent="0.3">
      <c r="D163" s="110"/>
    </row>
    <row r="164" spans="4:4" ht="22.5" customHeight="1" x14ac:dyDescent="0.3">
      <c r="D164" s="110"/>
    </row>
    <row r="165" spans="4:4" ht="22.5" customHeight="1" x14ac:dyDescent="0.3">
      <c r="D165" s="110"/>
    </row>
    <row r="166" spans="4:4" ht="22.5" customHeight="1" x14ac:dyDescent="0.3">
      <c r="D166" s="110"/>
    </row>
    <row r="167" spans="4:4" ht="22.5" customHeight="1" x14ac:dyDescent="0.3">
      <c r="D167" s="110"/>
    </row>
    <row r="168" spans="4:4" ht="22.5" customHeight="1" x14ac:dyDescent="0.3">
      <c r="D168" s="110"/>
    </row>
    <row r="169" spans="4:4" ht="22.5" customHeight="1" x14ac:dyDescent="0.3">
      <c r="D169" s="110"/>
    </row>
    <row r="170" spans="4:4" ht="22.5" customHeight="1" x14ac:dyDescent="0.3">
      <c r="D170" s="110"/>
    </row>
    <row r="171" spans="4:4" ht="22.5" customHeight="1" x14ac:dyDescent="0.3">
      <c r="D171" s="110"/>
    </row>
    <row r="172" spans="4:4" ht="22.5" customHeight="1" x14ac:dyDescent="0.3">
      <c r="D172" s="110"/>
    </row>
    <row r="173" spans="4:4" ht="22.5" customHeight="1" x14ac:dyDescent="0.3">
      <c r="D173" s="110"/>
    </row>
    <row r="174" spans="4:4" ht="22.5" customHeight="1" x14ac:dyDescent="0.3">
      <c r="D174" s="110"/>
    </row>
    <row r="175" spans="4:4" ht="22.5" customHeight="1" x14ac:dyDescent="0.3">
      <c r="D175" s="110"/>
    </row>
    <row r="176" spans="4:4" ht="22.5" customHeight="1" x14ac:dyDescent="0.3">
      <c r="D176" s="110"/>
    </row>
    <row r="177" spans="4:4" ht="22.5" customHeight="1" x14ac:dyDescent="0.3">
      <c r="D177" s="110"/>
    </row>
    <row r="178" spans="4:4" ht="22.5" customHeight="1" x14ac:dyDescent="0.3">
      <c r="D178" s="110"/>
    </row>
    <row r="179" spans="4:4" ht="22.5" customHeight="1" x14ac:dyDescent="0.3">
      <c r="D179" s="110"/>
    </row>
    <row r="180" spans="4:4" ht="22.5" customHeight="1" x14ac:dyDescent="0.3">
      <c r="D180" s="110"/>
    </row>
    <row r="181" spans="4:4" ht="22.5" customHeight="1" x14ac:dyDescent="0.3">
      <c r="D181" s="110"/>
    </row>
    <row r="182" spans="4:4" ht="22.5" customHeight="1" x14ac:dyDescent="0.3">
      <c r="D182" s="110"/>
    </row>
    <row r="183" spans="4:4" ht="22.5" customHeight="1" x14ac:dyDescent="0.3">
      <c r="D183" s="110"/>
    </row>
    <row r="184" spans="4:4" ht="22.5" customHeight="1" x14ac:dyDescent="0.3">
      <c r="D184" s="110"/>
    </row>
    <row r="185" spans="4:4" ht="22.5" customHeight="1" x14ac:dyDescent="0.3">
      <c r="D185" s="110"/>
    </row>
    <row r="186" spans="4:4" ht="22.5" customHeight="1" x14ac:dyDescent="0.3">
      <c r="D186" s="110"/>
    </row>
    <row r="187" spans="4:4" ht="22.5" customHeight="1" x14ac:dyDescent="0.3">
      <c r="D187" s="110"/>
    </row>
    <row r="188" spans="4:4" ht="22.5" customHeight="1" x14ac:dyDescent="0.3">
      <c r="D188" s="110"/>
    </row>
    <row r="189" spans="4:4" ht="22.5" customHeight="1" x14ac:dyDescent="0.3">
      <c r="D189" s="110"/>
    </row>
    <row r="190" spans="4:4" ht="22.5" customHeight="1" x14ac:dyDescent="0.3">
      <c r="D190" s="110"/>
    </row>
    <row r="191" spans="4:4" ht="22.5" customHeight="1" x14ac:dyDescent="0.3">
      <c r="D191" s="110"/>
    </row>
    <row r="192" spans="4:4" ht="22.5" customHeight="1" x14ac:dyDescent="0.3">
      <c r="D192" s="110"/>
    </row>
    <row r="193" spans="4:4" ht="22.5" customHeight="1" x14ac:dyDescent="0.3">
      <c r="D193" s="110"/>
    </row>
    <row r="194" spans="4:4" ht="22.5" customHeight="1" x14ac:dyDescent="0.3">
      <c r="D194" s="110"/>
    </row>
    <row r="195" spans="4:4" ht="22.5" customHeight="1" x14ac:dyDescent="0.3">
      <c r="D195" s="110"/>
    </row>
    <row r="196" spans="4:4" ht="22.5" customHeight="1" x14ac:dyDescent="0.3">
      <c r="D196" s="110"/>
    </row>
    <row r="197" spans="4:4" ht="22.5" customHeight="1" x14ac:dyDescent="0.3">
      <c r="D197" s="110"/>
    </row>
    <row r="198" spans="4:4" ht="22.5" customHeight="1" x14ac:dyDescent="0.3">
      <c r="D198" s="110"/>
    </row>
  </sheetData>
  <sheetProtection password="D72A" sheet="1" objects="1" scenarios="1" formatCells="0" formatColumns="0" formatRows="0"/>
  <autoFilter ref="C1:C122"/>
  <mergeCells count="176">
    <mergeCell ref="F99:F106"/>
    <mergeCell ref="K99:K106"/>
    <mergeCell ref="C107:C114"/>
    <mergeCell ref="D107:D114"/>
    <mergeCell ref="E107:E114"/>
    <mergeCell ref="F107:F114"/>
    <mergeCell ref="I99:I106"/>
    <mergeCell ref="I107:I114"/>
    <mergeCell ref="J107:J114"/>
    <mergeCell ref="K107:K114"/>
    <mergeCell ref="J99:J106"/>
    <mergeCell ref="B83:B90"/>
    <mergeCell ref="B91:B98"/>
    <mergeCell ref="B115:B122"/>
    <mergeCell ref="B48:B55"/>
    <mergeCell ref="B56:B63"/>
    <mergeCell ref="B64:B71"/>
    <mergeCell ref="B72:B79"/>
    <mergeCell ref="B80:B82"/>
    <mergeCell ref="B18:B20"/>
    <mergeCell ref="B21:B28"/>
    <mergeCell ref="B29:B36"/>
    <mergeCell ref="B37:B44"/>
    <mergeCell ref="B45:B47"/>
    <mergeCell ref="B99:B106"/>
    <mergeCell ref="B107:B114"/>
    <mergeCell ref="C15:K15"/>
    <mergeCell ref="C16:K16"/>
    <mergeCell ref="K48:K55"/>
    <mergeCell ref="K56:K63"/>
    <mergeCell ref="K64:K71"/>
    <mergeCell ref="K72:K79"/>
    <mergeCell ref="K80:K82"/>
    <mergeCell ref="K18:K20"/>
    <mergeCell ref="K21:K28"/>
    <mergeCell ref="K29:K36"/>
    <mergeCell ref="K37:K44"/>
    <mergeCell ref="K45:K47"/>
    <mergeCell ref="C21:C28"/>
    <mergeCell ref="E21:E28"/>
    <mergeCell ref="F21:F28"/>
    <mergeCell ref="G19:G20"/>
    <mergeCell ref="D21:D28"/>
    <mergeCell ref="J18:J20"/>
    <mergeCell ref="J21:J28"/>
    <mergeCell ref="C18:C20"/>
    <mergeCell ref="F18:F20"/>
    <mergeCell ref="D18:D20"/>
    <mergeCell ref="I19:I20"/>
    <mergeCell ref="G18:I18"/>
    <mergeCell ref="E18:E20"/>
    <mergeCell ref="J56:J63"/>
    <mergeCell ref="J115:J122"/>
    <mergeCell ref="F72:F79"/>
    <mergeCell ref="J72:J79"/>
    <mergeCell ref="J80:J82"/>
    <mergeCell ref="J83:J90"/>
    <mergeCell ref="J91:J98"/>
    <mergeCell ref="J64:J71"/>
    <mergeCell ref="F56:F63"/>
    <mergeCell ref="G81:G82"/>
    <mergeCell ref="G80:I80"/>
    <mergeCell ref="I81:I82"/>
    <mergeCell ref="F91:F98"/>
    <mergeCell ref="F80:F82"/>
    <mergeCell ref="F83:F90"/>
    <mergeCell ref="F115:F122"/>
    <mergeCell ref="F64:F71"/>
    <mergeCell ref="F37:F44"/>
    <mergeCell ref="J37:J44"/>
    <mergeCell ref="H19:H20"/>
    <mergeCell ref="H46:H47"/>
    <mergeCell ref="H81:H82"/>
    <mergeCell ref="I21:I28"/>
    <mergeCell ref="C115:C122"/>
    <mergeCell ref="D115:D122"/>
    <mergeCell ref="D80:D82"/>
    <mergeCell ref="C91:C98"/>
    <mergeCell ref="E91:E98"/>
    <mergeCell ref="C80:C82"/>
    <mergeCell ref="C83:C90"/>
    <mergeCell ref="E83:E90"/>
    <mergeCell ref="D72:D79"/>
    <mergeCell ref="D83:D90"/>
    <mergeCell ref="D91:D98"/>
    <mergeCell ref="E115:E122"/>
    <mergeCell ref="E80:E82"/>
    <mergeCell ref="C72:C79"/>
    <mergeCell ref="E72:E79"/>
    <mergeCell ref="C99:C106"/>
    <mergeCell ref="D99:D106"/>
    <mergeCell ref="E99:E106"/>
    <mergeCell ref="C56:C63"/>
    <mergeCell ref="E56:E63"/>
    <mergeCell ref="D56:D63"/>
    <mergeCell ref="C64:C71"/>
    <mergeCell ref="D64:D71"/>
    <mergeCell ref="E64:E71"/>
    <mergeCell ref="C37:C44"/>
    <mergeCell ref="D37:D44"/>
    <mergeCell ref="E37:E44"/>
    <mergeCell ref="C29:C36"/>
    <mergeCell ref="D29:D36"/>
    <mergeCell ref="E29:E36"/>
    <mergeCell ref="F29:F36"/>
    <mergeCell ref="J29:J36"/>
    <mergeCell ref="J48:J55"/>
    <mergeCell ref="C45:C47"/>
    <mergeCell ref="D45:D47"/>
    <mergeCell ref="E45:E47"/>
    <mergeCell ref="F45:F47"/>
    <mergeCell ref="G45:I45"/>
    <mergeCell ref="J45:J47"/>
    <mergeCell ref="G46:G47"/>
    <mergeCell ref="I46:I47"/>
    <mergeCell ref="C48:C55"/>
    <mergeCell ref="D48:D55"/>
    <mergeCell ref="E48:E55"/>
    <mergeCell ref="F48:F55"/>
    <mergeCell ref="I29:I36"/>
    <mergeCell ref="L115:L122"/>
    <mergeCell ref="M18:M20"/>
    <mergeCell ref="M21:M28"/>
    <mergeCell ref="M29:M36"/>
    <mergeCell ref="M37:M44"/>
    <mergeCell ref="M45:M47"/>
    <mergeCell ref="M48:M55"/>
    <mergeCell ref="M56:M63"/>
    <mergeCell ref="M64:M71"/>
    <mergeCell ref="M72:M79"/>
    <mergeCell ref="M80:M82"/>
    <mergeCell ref="M83:M90"/>
    <mergeCell ref="M91:M98"/>
    <mergeCell ref="M115:M122"/>
    <mergeCell ref="L18:L20"/>
    <mergeCell ref="L21:L28"/>
    <mergeCell ref="L29:L36"/>
    <mergeCell ref="L37:L44"/>
    <mergeCell ref="L45:L47"/>
    <mergeCell ref="L48:L55"/>
    <mergeCell ref="L56:L63"/>
    <mergeCell ref="L64:L71"/>
    <mergeCell ref="L72:L79"/>
    <mergeCell ref="L99:L106"/>
    <mergeCell ref="N115:N122"/>
    <mergeCell ref="N18:N20"/>
    <mergeCell ref="N21:N28"/>
    <mergeCell ref="N29:N36"/>
    <mergeCell ref="N37:N44"/>
    <mergeCell ref="N45:N47"/>
    <mergeCell ref="N48:N55"/>
    <mergeCell ref="N56:N63"/>
    <mergeCell ref="N64:N71"/>
    <mergeCell ref="N72:N79"/>
    <mergeCell ref="N99:N106"/>
    <mergeCell ref="N107:N114"/>
    <mergeCell ref="L107:L114"/>
    <mergeCell ref="M99:M106"/>
    <mergeCell ref="M107:M114"/>
    <mergeCell ref="I83:I90"/>
    <mergeCell ref="I91:I98"/>
    <mergeCell ref="N80:N82"/>
    <mergeCell ref="N83:N90"/>
    <mergeCell ref="N91:N98"/>
    <mergeCell ref="L80:L82"/>
    <mergeCell ref="L83:L90"/>
    <mergeCell ref="L91:L98"/>
    <mergeCell ref="I115:I122"/>
    <mergeCell ref="K83:K90"/>
    <mergeCell ref="K91:K98"/>
    <mergeCell ref="K115:K122"/>
    <mergeCell ref="I37:I44"/>
    <mergeCell ref="I48:I55"/>
    <mergeCell ref="I56:I63"/>
    <mergeCell ref="I64:I71"/>
    <mergeCell ref="I72:I79"/>
  </mergeCells>
  <dataValidations count="1">
    <dataValidation type="list" allowBlank="1" showInputMessage="1" showErrorMessage="1" sqref="J48:J79 J21:J44 F48:F79 F83:F122 F21:F44 J83:J122">
      <formula1>"1,2,3"</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N138"/>
  <sheetViews>
    <sheetView showGridLines="0" topLeftCell="A93" zoomScale="90" zoomScaleNormal="90" workbookViewId="0">
      <selection activeCell="E123" sqref="E123:E130"/>
    </sheetView>
  </sheetViews>
  <sheetFormatPr baseColWidth="10" defaultColWidth="9.140625" defaultRowHeight="32.25" customHeight="1" x14ac:dyDescent="0.3"/>
  <cols>
    <col min="1" max="1" width="2.5703125" style="15" customWidth="1"/>
    <col min="2" max="2" width="4.42578125" style="15" hidden="1" customWidth="1"/>
    <col min="3" max="4" width="37.85546875" style="15" customWidth="1"/>
    <col min="5" max="5" width="44.85546875" style="15" customWidth="1"/>
    <col min="6" max="6" width="7.42578125" style="15" customWidth="1"/>
    <col min="7" max="7" width="3.5703125" style="15" bestFit="1" customWidth="1"/>
    <col min="8" max="8" width="36.28515625" style="15" customWidth="1"/>
    <col min="9" max="9" width="39.5703125" style="15" customWidth="1"/>
    <col min="10" max="10" width="7.42578125" style="15" customWidth="1"/>
    <col min="11" max="11" width="10.28515625" style="15" customWidth="1"/>
    <col min="12" max="14" width="9.140625" style="98"/>
    <col min="15" max="16384" width="9.140625" style="15"/>
  </cols>
  <sheetData>
    <row r="1" spans="2:14" ht="16.5" x14ac:dyDescent="0.3"/>
    <row r="2" spans="2:14" ht="16.5" x14ac:dyDescent="0.3"/>
    <row r="3" spans="2:14" ht="16.5" x14ac:dyDescent="0.3"/>
    <row r="4" spans="2:14" ht="16.5" x14ac:dyDescent="0.3"/>
    <row r="5" spans="2:14" ht="16.5" x14ac:dyDescent="0.3"/>
    <row r="6" spans="2:14" ht="16.5" x14ac:dyDescent="0.3"/>
    <row r="7" spans="2:14" ht="16.5" x14ac:dyDescent="0.3"/>
    <row r="9" spans="2:14" ht="16.5" x14ac:dyDescent="0.3"/>
    <row r="11" spans="2:14" ht="16.5" x14ac:dyDescent="0.3">
      <c r="C11" s="21"/>
      <c r="D11" s="21"/>
      <c r="E11" s="21"/>
      <c r="F11" s="21"/>
      <c r="G11" s="21"/>
      <c r="H11" s="21"/>
      <c r="I11" s="21"/>
    </row>
    <row r="12" spans="2:14" ht="26.25" customHeight="1" x14ac:dyDescent="0.3">
      <c r="C12" s="659" t="s">
        <v>236</v>
      </c>
      <c r="D12" s="659"/>
      <c r="E12" s="659"/>
      <c r="F12" s="659"/>
      <c r="G12" s="659"/>
      <c r="H12" s="659"/>
      <c r="I12" s="659"/>
      <c r="J12" s="659"/>
      <c r="K12" s="659"/>
    </row>
    <row r="13" spans="2:14" ht="66.75" customHeight="1" x14ac:dyDescent="0.3">
      <c r="C13" s="330" t="s">
        <v>237</v>
      </c>
      <c r="D13" s="330"/>
      <c r="E13" s="330"/>
      <c r="F13" s="330"/>
      <c r="G13" s="330"/>
      <c r="H13" s="330"/>
      <c r="I13" s="330"/>
      <c r="J13" s="330"/>
      <c r="K13" s="330"/>
    </row>
    <row r="14" spans="2:14" ht="16.5" x14ac:dyDescent="0.3"/>
    <row r="15" spans="2:14" ht="12.75" customHeight="1" x14ac:dyDescent="0.3">
      <c r="B15" s="660" t="s">
        <v>111</v>
      </c>
      <c r="C15" s="660" t="s">
        <v>238</v>
      </c>
      <c r="D15" s="628" t="s">
        <v>8</v>
      </c>
      <c r="E15" s="645" t="s">
        <v>113</v>
      </c>
      <c r="F15" s="638" t="s">
        <v>175</v>
      </c>
      <c r="G15" s="652" t="s">
        <v>115</v>
      </c>
      <c r="H15" s="652"/>
      <c r="I15" s="652"/>
      <c r="J15" s="638" t="s">
        <v>176</v>
      </c>
      <c r="K15" s="657" t="s">
        <v>135</v>
      </c>
      <c r="L15" s="465"/>
      <c r="M15" s="465"/>
      <c r="N15" s="465"/>
    </row>
    <row r="16" spans="2:14" ht="15" customHeight="1" x14ac:dyDescent="0.3">
      <c r="B16" s="624"/>
      <c r="C16" s="624"/>
      <c r="D16" s="628"/>
      <c r="E16" s="646"/>
      <c r="F16" s="638"/>
      <c r="G16" s="652"/>
      <c r="H16" s="652"/>
      <c r="I16" s="652"/>
      <c r="J16" s="638"/>
      <c r="K16" s="657"/>
      <c r="L16" s="465"/>
      <c r="M16" s="465"/>
      <c r="N16" s="465"/>
    </row>
    <row r="17" spans="2:14" ht="27.75" customHeight="1" x14ac:dyDescent="0.3">
      <c r="B17" s="624"/>
      <c r="C17" s="624"/>
      <c r="D17" s="628"/>
      <c r="E17" s="646"/>
      <c r="F17" s="638"/>
      <c r="G17" s="652" t="s">
        <v>13</v>
      </c>
      <c r="H17" s="628" t="s">
        <v>15</v>
      </c>
      <c r="I17" s="628" t="s">
        <v>17</v>
      </c>
      <c r="J17" s="638"/>
      <c r="K17" s="657"/>
      <c r="L17" s="465"/>
      <c r="M17" s="465"/>
      <c r="N17" s="465"/>
    </row>
    <row r="18" spans="2:14" ht="72" customHeight="1" thickBot="1" x14ac:dyDescent="0.35">
      <c r="B18" s="624"/>
      <c r="C18" s="624"/>
      <c r="D18" s="628"/>
      <c r="E18" s="647"/>
      <c r="F18" s="638"/>
      <c r="G18" s="652"/>
      <c r="H18" s="652"/>
      <c r="I18" s="652"/>
      <c r="J18" s="638"/>
      <c r="K18" s="658"/>
      <c r="L18" s="465"/>
      <c r="M18" s="465"/>
      <c r="N18" s="465"/>
    </row>
    <row r="19" spans="2:14" s="18" customFormat="1" ht="25.5" customHeight="1" x14ac:dyDescent="0.3">
      <c r="B19" s="306" t="str">
        <f>+LEFT(C19,4)</f>
        <v>13.1</v>
      </c>
      <c r="C19" s="661" t="s">
        <v>239</v>
      </c>
      <c r="D19" s="313" t="s">
        <v>240</v>
      </c>
      <c r="E19" s="290" t="s">
        <v>634</v>
      </c>
      <c r="F19" s="309">
        <v>3</v>
      </c>
      <c r="G19" s="141">
        <v>1</v>
      </c>
      <c r="H19" s="290" t="s">
        <v>635</v>
      </c>
      <c r="I19" s="290" t="s">
        <v>502</v>
      </c>
      <c r="J19" s="319">
        <v>2</v>
      </c>
      <c r="K19" s="394" t="str">
        <f t="shared" ref="K19" si="0">+IF(OR(ISBLANK(F19),ISBLANK(J19)),"",IF(OR(AND(F19=1,J19=1),AND(F19=1,J19=2),AND(F19=1,J19=3)),"Deficiencia de control mayor (diseño y ejecución)",IF(OR(AND(F19=2,J19=2),AND(F19=3,J19=1),AND(F19=3,J19=2),AND(F19=2,J19=1)),"Deficiencia de control (diseño o ejecución)",IF(AND(F19=2,J19=3),"Oportunidad de mejora","Mantenimiento del control"))))</f>
        <v>Deficiencia de control (diseño o ejecución)</v>
      </c>
      <c r="L19" s="413">
        <f>+IF(K19="",231,IF(K19="Deficiencia de control mayor (diseño y ejecución)",240,IF(K19="Deficiencia de control (diseño o ejecución)",260,IF(K19="Oportunidad de mejora",280,300))))</f>
        <v>260</v>
      </c>
      <c r="M19" s="460">
        <v>4.4569000000000001</v>
      </c>
      <c r="N19" s="460">
        <f>+L19+M19</f>
        <v>264.45690000000002</v>
      </c>
    </row>
    <row r="20" spans="2:14" s="18" customFormat="1" ht="25.5" customHeight="1" x14ac:dyDescent="0.3">
      <c r="B20" s="307"/>
      <c r="C20" s="636"/>
      <c r="D20" s="314"/>
      <c r="E20" s="291"/>
      <c r="F20" s="301"/>
      <c r="G20" s="138">
        <v>2</v>
      </c>
      <c r="H20" s="291"/>
      <c r="I20" s="291"/>
      <c r="J20" s="320"/>
      <c r="K20" s="304"/>
      <c r="L20" s="413"/>
      <c r="M20" s="460"/>
      <c r="N20" s="460"/>
    </row>
    <row r="21" spans="2:14" s="18" customFormat="1" ht="25.5" customHeight="1" x14ac:dyDescent="0.3">
      <c r="B21" s="307"/>
      <c r="C21" s="636"/>
      <c r="D21" s="314"/>
      <c r="E21" s="291"/>
      <c r="F21" s="301"/>
      <c r="G21" s="138">
        <v>3</v>
      </c>
      <c r="H21" s="291"/>
      <c r="I21" s="291"/>
      <c r="J21" s="320"/>
      <c r="K21" s="304"/>
      <c r="L21" s="413"/>
      <c r="M21" s="460"/>
      <c r="N21" s="460"/>
    </row>
    <row r="22" spans="2:14" s="18" customFormat="1" ht="25.5" customHeight="1" x14ac:dyDescent="0.3">
      <c r="B22" s="307"/>
      <c r="C22" s="636"/>
      <c r="D22" s="314"/>
      <c r="E22" s="291"/>
      <c r="F22" s="301"/>
      <c r="G22" s="138">
        <v>4</v>
      </c>
      <c r="H22" s="291"/>
      <c r="I22" s="291"/>
      <c r="J22" s="320"/>
      <c r="K22" s="304"/>
      <c r="L22" s="413"/>
      <c r="M22" s="460"/>
      <c r="N22" s="460"/>
    </row>
    <row r="23" spans="2:14" s="18" customFormat="1" ht="14.25" customHeight="1" thickBot="1" x14ac:dyDescent="0.35">
      <c r="B23" s="307"/>
      <c r="C23" s="636"/>
      <c r="D23" s="314"/>
      <c r="E23" s="291"/>
      <c r="F23" s="301"/>
      <c r="G23" s="138">
        <v>5</v>
      </c>
      <c r="H23" s="291"/>
      <c r="I23" s="291"/>
      <c r="J23" s="320"/>
      <c r="K23" s="304"/>
      <c r="L23" s="413"/>
      <c r="M23" s="460"/>
      <c r="N23" s="460"/>
    </row>
    <row r="24" spans="2:14" s="18" customFormat="1" ht="15.75" hidden="1" customHeight="1" thickBot="1" x14ac:dyDescent="0.35">
      <c r="B24" s="307"/>
      <c r="C24" s="636"/>
      <c r="D24" s="314"/>
      <c r="E24" s="291"/>
      <c r="F24" s="301"/>
      <c r="G24" s="138">
        <v>6</v>
      </c>
      <c r="H24" s="291"/>
      <c r="I24" s="291"/>
      <c r="J24" s="320"/>
      <c r="K24" s="304"/>
      <c r="L24" s="413"/>
      <c r="M24" s="460"/>
      <c r="N24" s="460"/>
    </row>
    <row r="25" spans="2:14" s="18" customFormat="1" ht="25.5" hidden="1" customHeight="1" thickBot="1" x14ac:dyDescent="0.35">
      <c r="B25" s="307"/>
      <c r="C25" s="636"/>
      <c r="D25" s="314"/>
      <c r="E25" s="291"/>
      <c r="F25" s="301"/>
      <c r="G25" s="138">
        <v>7</v>
      </c>
      <c r="H25" s="291"/>
      <c r="I25" s="291"/>
      <c r="J25" s="320"/>
      <c r="K25" s="304"/>
      <c r="L25" s="413"/>
      <c r="M25" s="460"/>
      <c r="N25" s="460"/>
    </row>
    <row r="26" spans="2:14" ht="25.5" hidden="1" customHeight="1" thickBot="1" x14ac:dyDescent="0.35">
      <c r="B26" s="308"/>
      <c r="C26" s="637"/>
      <c r="D26" s="315"/>
      <c r="E26" s="292"/>
      <c r="F26" s="302"/>
      <c r="G26" s="140">
        <v>8</v>
      </c>
      <c r="H26" s="292"/>
      <c r="I26" s="292"/>
      <c r="J26" s="321"/>
      <c r="K26" s="305"/>
      <c r="L26" s="413"/>
      <c r="M26" s="460"/>
      <c r="N26" s="460"/>
    </row>
    <row r="27" spans="2:14" s="18" customFormat="1" ht="49.5" customHeight="1" x14ac:dyDescent="0.3">
      <c r="B27" s="306" t="str">
        <f>+LEFT(C27,4)</f>
        <v>13.2</v>
      </c>
      <c r="C27" s="653" t="s">
        <v>241</v>
      </c>
      <c r="D27" s="313" t="s">
        <v>242</v>
      </c>
      <c r="E27" s="290" t="s">
        <v>636</v>
      </c>
      <c r="F27" s="309">
        <v>1</v>
      </c>
      <c r="G27" s="141">
        <v>1</v>
      </c>
      <c r="H27" s="195" t="s">
        <v>637</v>
      </c>
      <c r="I27" s="290" t="s">
        <v>638</v>
      </c>
      <c r="J27" s="319">
        <v>1</v>
      </c>
      <c r="K27" s="394" t="str">
        <f t="shared" ref="K27:K43" si="1">+IF(OR(ISBLANK(F27),ISBLANK(J27)),"",IF(OR(AND(F27=1,J27=1),AND(F27=1,J27=2),AND(F27=1,J27=3)),"Deficiencia de control mayor (diseño y ejecución)",IF(OR(AND(F27=2,J27=2),AND(F27=3,J27=1),AND(F27=3,J27=2),AND(F27=2,J27=1)),"Deficiencia de control (diseño o ejecución)",IF(AND(F27=2,J27=3),"Oportunidad de mejora","Mantenimiento del control"))))</f>
        <v>Deficiencia de control mayor (diseño y ejecución)</v>
      </c>
      <c r="L27" s="413">
        <f t="shared" ref="L27" si="2">+IF(K27="",231,IF(K27="Deficiencia de control mayor (diseño y ejecución)",240,IF(K27="Deficiencia de control (diseño o ejecución)",260,IF(K27="Oportunidad de mejora",280,300))))</f>
        <v>240</v>
      </c>
      <c r="M27" s="460">
        <v>4.5632000000000001</v>
      </c>
      <c r="N27" s="460">
        <f>+L27+M27</f>
        <v>244.56319999999999</v>
      </c>
    </row>
    <row r="28" spans="2:14" s="18" customFormat="1" ht="16.5" x14ac:dyDescent="0.3">
      <c r="B28" s="307"/>
      <c r="C28" s="636"/>
      <c r="D28" s="314"/>
      <c r="E28" s="291"/>
      <c r="F28" s="301"/>
      <c r="G28" s="138">
        <v>2</v>
      </c>
      <c r="H28" s="138"/>
      <c r="I28" s="291"/>
      <c r="J28" s="320"/>
      <c r="K28" s="304"/>
      <c r="L28" s="413"/>
      <c r="M28" s="460"/>
      <c r="N28" s="460"/>
    </row>
    <row r="29" spans="2:14" s="18" customFormat="1" ht="16.5" x14ac:dyDescent="0.3">
      <c r="B29" s="307"/>
      <c r="C29" s="636"/>
      <c r="D29" s="314"/>
      <c r="E29" s="291"/>
      <c r="F29" s="301"/>
      <c r="G29" s="138">
        <v>3</v>
      </c>
      <c r="H29" s="138"/>
      <c r="I29" s="291"/>
      <c r="J29" s="320"/>
      <c r="K29" s="304"/>
      <c r="L29" s="413"/>
      <c r="M29" s="460"/>
      <c r="N29" s="460"/>
    </row>
    <row r="30" spans="2:14" s="18" customFormat="1" ht="16.5" x14ac:dyDescent="0.3">
      <c r="B30" s="307"/>
      <c r="C30" s="636"/>
      <c r="D30" s="314"/>
      <c r="E30" s="291"/>
      <c r="F30" s="301"/>
      <c r="G30" s="138">
        <v>4</v>
      </c>
      <c r="H30" s="138"/>
      <c r="I30" s="291"/>
      <c r="J30" s="320"/>
      <c r="K30" s="304"/>
      <c r="L30" s="413"/>
      <c r="M30" s="460"/>
      <c r="N30" s="460"/>
    </row>
    <row r="31" spans="2:14" s="18" customFormat="1" ht="16.5" x14ac:dyDescent="0.3">
      <c r="B31" s="307"/>
      <c r="C31" s="636"/>
      <c r="D31" s="314"/>
      <c r="E31" s="291"/>
      <c r="F31" s="301"/>
      <c r="G31" s="138">
        <v>5</v>
      </c>
      <c r="H31" s="138"/>
      <c r="I31" s="291"/>
      <c r="J31" s="320"/>
      <c r="K31" s="304"/>
      <c r="L31" s="413"/>
      <c r="M31" s="460"/>
      <c r="N31" s="460"/>
    </row>
    <row r="32" spans="2:14" s="18" customFormat="1" ht="16.5" x14ac:dyDescent="0.3">
      <c r="B32" s="307"/>
      <c r="C32" s="636"/>
      <c r="D32" s="314"/>
      <c r="E32" s="291"/>
      <c r="F32" s="301"/>
      <c r="G32" s="138">
        <v>6</v>
      </c>
      <c r="H32" s="138"/>
      <c r="I32" s="291"/>
      <c r="J32" s="320"/>
      <c r="K32" s="304"/>
      <c r="L32" s="413"/>
      <c r="M32" s="460"/>
      <c r="N32" s="460"/>
    </row>
    <row r="33" spans="1:14" s="18" customFormat="1" ht="12" customHeight="1" thickBot="1" x14ac:dyDescent="0.35">
      <c r="B33" s="307"/>
      <c r="C33" s="636"/>
      <c r="D33" s="314"/>
      <c r="E33" s="291"/>
      <c r="F33" s="301"/>
      <c r="G33" s="138">
        <v>7</v>
      </c>
      <c r="H33" s="138"/>
      <c r="I33" s="291"/>
      <c r="J33" s="320"/>
      <c r="K33" s="304"/>
      <c r="L33" s="413"/>
      <c r="M33" s="460"/>
      <c r="N33" s="460"/>
    </row>
    <row r="34" spans="1:14" ht="17.25" hidden="1" thickBot="1" x14ac:dyDescent="0.35">
      <c r="B34" s="308"/>
      <c r="C34" s="637"/>
      <c r="D34" s="315"/>
      <c r="E34" s="292"/>
      <c r="F34" s="302"/>
      <c r="G34" s="140">
        <v>8</v>
      </c>
      <c r="H34" s="140"/>
      <c r="I34" s="292"/>
      <c r="J34" s="321"/>
      <c r="K34" s="305"/>
      <c r="L34" s="413"/>
      <c r="M34" s="460"/>
      <c r="N34" s="460"/>
    </row>
    <row r="35" spans="1:14" ht="49.5" x14ac:dyDescent="0.3">
      <c r="B35" s="306" t="str">
        <f>+LEFT(C35,4)</f>
        <v>13.3</v>
      </c>
      <c r="C35" s="653" t="s">
        <v>243</v>
      </c>
      <c r="D35" s="313" t="s">
        <v>242</v>
      </c>
      <c r="E35" s="290" t="s">
        <v>639</v>
      </c>
      <c r="F35" s="309">
        <v>2</v>
      </c>
      <c r="G35" s="141">
        <v>1</v>
      </c>
      <c r="H35" s="221" t="s">
        <v>640</v>
      </c>
      <c r="I35" s="290" t="s">
        <v>641</v>
      </c>
      <c r="J35" s="319">
        <v>2</v>
      </c>
      <c r="K35" s="394" t="str">
        <f t="shared" si="1"/>
        <v>Deficiencia de control (diseño o ejecución)</v>
      </c>
      <c r="L35" s="413">
        <f t="shared" ref="L35" si="3">+IF(K35="",231,IF(K35="Deficiencia de control mayor (diseño y ejecución)",240,IF(K35="Deficiencia de control (diseño o ejecución)",260,IF(K35="Oportunidad de mejora",280,300))))</f>
        <v>260</v>
      </c>
      <c r="M35" s="460">
        <v>4.6321000000000003</v>
      </c>
      <c r="N35" s="460">
        <f>+L35+M35</f>
        <v>264.63209999999998</v>
      </c>
    </row>
    <row r="36" spans="1:14" ht="16.5" x14ac:dyDescent="0.3">
      <c r="B36" s="307"/>
      <c r="C36" s="636"/>
      <c r="D36" s="314"/>
      <c r="E36" s="291"/>
      <c r="F36" s="301"/>
      <c r="G36" s="138">
        <v>2</v>
      </c>
      <c r="H36" s="138"/>
      <c r="I36" s="291"/>
      <c r="J36" s="320"/>
      <c r="K36" s="304"/>
      <c r="L36" s="413"/>
      <c r="M36" s="460"/>
      <c r="N36" s="460"/>
    </row>
    <row r="37" spans="1:14" ht="16.5" x14ac:dyDescent="0.3">
      <c r="B37" s="307"/>
      <c r="C37" s="636"/>
      <c r="D37" s="314"/>
      <c r="E37" s="291"/>
      <c r="F37" s="301"/>
      <c r="G37" s="138">
        <v>3</v>
      </c>
      <c r="H37" s="138"/>
      <c r="I37" s="291"/>
      <c r="J37" s="320"/>
      <c r="K37" s="304"/>
      <c r="L37" s="413"/>
      <c r="M37" s="460"/>
      <c r="N37" s="460"/>
    </row>
    <row r="38" spans="1:14" ht="16.5" x14ac:dyDescent="0.3">
      <c r="B38" s="307"/>
      <c r="C38" s="636"/>
      <c r="D38" s="314"/>
      <c r="E38" s="291"/>
      <c r="F38" s="301"/>
      <c r="G38" s="138">
        <v>4</v>
      </c>
      <c r="H38" s="138"/>
      <c r="I38" s="291"/>
      <c r="J38" s="320"/>
      <c r="K38" s="304"/>
      <c r="L38" s="413"/>
      <c r="M38" s="460"/>
      <c r="N38" s="460"/>
    </row>
    <row r="39" spans="1:14" ht="15.75" customHeight="1" thickBot="1" x14ac:dyDescent="0.35">
      <c r="B39" s="307"/>
      <c r="C39" s="636"/>
      <c r="D39" s="314"/>
      <c r="E39" s="291"/>
      <c r="F39" s="301"/>
      <c r="G39" s="138">
        <v>5</v>
      </c>
      <c r="H39" s="138"/>
      <c r="I39" s="291"/>
      <c r="J39" s="320"/>
      <c r="K39" s="304"/>
      <c r="L39" s="413"/>
      <c r="M39" s="460"/>
      <c r="N39" s="460"/>
    </row>
    <row r="40" spans="1:14" ht="17.25" hidden="1" thickBot="1" x14ac:dyDescent="0.35">
      <c r="B40" s="307"/>
      <c r="C40" s="636"/>
      <c r="D40" s="314"/>
      <c r="E40" s="291"/>
      <c r="F40" s="301"/>
      <c r="G40" s="138">
        <v>6</v>
      </c>
      <c r="H40" s="138"/>
      <c r="I40" s="291"/>
      <c r="J40" s="320"/>
      <c r="K40" s="304"/>
      <c r="L40" s="413"/>
      <c r="M40" s="460"/>
      <c r="N40" s="460"/>
    </row>
    <row r="41" spans="1:14" ht="17.25" hidden="1" thickBot="1" x14ac:dyDescent="0.35">
      <c r="B41" s="307"/>
      <c r="C41" s="636"/>
      <c r="D41" s="314"/>
      <c r="E41" s="291"/>
      <c r="F41" s="301"/>
      <c r="G41" s="138">
        <v>7</v>
      </c>
      <c r="H41" s="138"/>
      <c r="I41" s="291"/>
      <c r="J41" s="320"/>
      <c r="K41" s="304"/>
      <c r="L41" s="413"/>
      <c r="M41" s="460"/>
      <c r="N41" s="460"/>
    </row>
    <row r="42" spans="1:14" ht="17.25" hidden="1" thickBot="1" x14ac:dyDescent="0.35">
      <c r="B42" s="308"/>
      <c r="C42" s="637"/>
      <c r="D42" s="315"/>
      <c r="E42" s="292"/>
      <c r="F42" s="302"/>
      <c r="G42" s="140">
        <v>8</v>
      </c>
      <c r="H42" s="140"/>
      <c r="I42" s="292"/>
      <c r="J42" s="321"/>
      <c r="K42" s="305"/>
      <c r="L42" s="413"/>
      <c r="M42" s="460"/>
      <c r="N42" s="460"/>
    </row>
    <row r="43" spans="1:14" ht="96" customHeight="1" x14ac:dyDescent="0.3">
      <c r="A43" s="622"/>
      <c r="B43" s="306" t="str">
        <f>+LEFT(C43,4)</f>
        <v>13.4</v>
      </c>
      <c r="C43" s="653" t="s">
        <v>244</v>
      </c>
      <c r="D43" s="313" t="s">
        <v>242</v>
      </c>
      <c r="E43" s="290" t="s">
        <v>642</v>
      </c>
      <c r="F43" s="309">
        <v>2</v>
      </c>
      <c r="G43" s="141">
        <v>1</v>
      </c>
      <c r="H43" s="221" t="s">
        <v>643</v>
      </c>
      <c r="I43" s="290" t="s">
        <v>644</v>
      </c>
      <c r="J43" s="319">
        <v>1</v>
      </c>
      <c r="K43" s="394" t="str">
        <f t="shared" si="1"/>
        <v>Deficiencia de control (diseño o ejecución)</v>
      </c>
      <c r="L43" s="413">
        <f t="shared" ref="L43" si="4">+IF(K43="",231,IF(K43="Deficiencia de control mayor (diseño y ejecución)",240,IF(K43="Deficiencia de control (diseño o ejecución)",260,IF(K43="Oportunidad de mejora",280,300))))</f>
        <v>260</v>
      </c>
      <c r="M43" s="460">
        <v>4.7896000000000001</v>
      </c>
      <c r="N43" s="460">
        <f>+L43+M43</f>
        <v>264.78960000000001</v>
      </c>
    </row>
    <row r="44" spans="1:14" ht="24" customHeight="1" x14ac:dyDescent="0.3">
      <c r="A44" s="622"/>
      <c r="B44" s="307"/>
      <c r="C44" s="636"/>
      <c r="D44" s="314"/>
      <c r="E44" s="291"/>
      <c r="F44" s="301"/>
      <c r="G44" s="138">
        <v>2</v>
      </c>
      <c r="H44" s="138"/>
      <c r="I44" s="291"/>
      <c r="J44" s="320"/>
      <c r="K44" s="304"/>
      <c r="L44" s="413"/>
      <c r="M44" s="460"/>
      <c r="N44" s="460"/>
    </row>
    <row r="45" spans="1:14" ht="17.25" customHeight="1" x14ac:dyDescent="0.3">
      <c r="B45" s="307"/>
      <c r="C45" s="636"/>
      <c r="D45" s="314"/>
      <c r="E45" s="291"/>
      <c r="F45" s="301"/>
      <c r="G45" s="138">
        <v>3</v>
      </c>
      <c r="H45" s="138"/>
      <c r="I45" s="291"/>
      <c r="J45" s="320"/>
      <c r="K45" s="304"/>
      <c r="L45" s="413"/>
      <c r="M45" s="460"/>
      <c r="N45" s="460"/>
    </row>
    <row r="46" spans="1:14" ht="24" hidden="1" customHeight="1" x14ac:dyDescent="0.3">
      <c r="B46" s="307"/>
      <c r="C46" s="636"/>
      <c r="D46" s="314"/>
      <c r="E46" s="291"/>
      <c r="F46" s="301"/>
      <c r="G46" s="138">
        <v>4</v>
      </c>
      <c r="H46" s="138"/>
      <c r="I46" s="291"/>
      <c r="J46" s="320"/>
      <c r="K46" s="304"/>
      <c r="L46" s="413"/>
      <c r="M46" s="460"/>
      <c r="N46" s="460"/>
    </row>
    <row r="47" spans="1:14" ht="16.5" hidden="1" x14ac:dyDescent="0.3">
      <c r="B47" s="307"/>
      <c r="C47" s="636"/>
      <c r="D47" s="314"/>
      <c r="E47" s="291"/>
      <c r="F47" s="301"/>
      <c r="G47" s="138">
        <v>5</v>
      </c>
      <c r="H47" s="138"/>
      <c r="I47" s="291"/>
      <c r="J47" s="320"/>
      <c r="K47" s="304"/>
      <c r="L47" s="413"/>
      <c r="M47" s="460"/>
      <c r="N47" s="460"/>
    </row>
    <row r="48" spans="1:14" ht="16.5" hidden="1" x14ac:dyDescent="0.3">
      <c r="B48" s="307"/>
      <c r="C48" s="636"/>
      <c r="D48" s="314"/>
      <c r="E48" s="291"/>
      <c r="F48" s="301"/>
      <c r="G48" s="138">
        <v>6</v>
      </c>
      <c r="H48" s="138"/>
      <c r="I48" s="291"/>
      <c r="J48" s="320"/>
      <c r="K48" s="304"/>
      <c r="L48" s="413"/>
      <c r="M48" s="460"/>
      <c r="N48" s="460"/>
    </row>
    <row r="49" spans="2:14" ht="16.5" hidden="1" x14ac:dyDescent="0.3">
      <c r="B49" s="307"/>
      <c r="C49" s="636"/>
      <c r="D49" s="314"/>
      <c r="E49" s="291"/>
      <c r="F49" s="301"/>
      <c r="G49" s="138">
        <v>7</v>
      </c>
      <c r="H49" s="138"/>
      <c r="I49" s="291"/>
      <c r="J49" s="320"/>
      <c r="K49" s="304"/>
      <c r="L49" s="413"/>
      <c r="M49" s="460"/>
      <c r="N49" s="460"/>
    </row>
    <row r="50" spans="2:14" ht="15.75" hidden="1" customHeight="1" thickBot="1" x14ac:dyDescent="0.35">
      <c r="B50" s="308"/>
      <c r="C50" s="637"/>
      <c r="D50" s="315"/>
      <c r="E50" s="292"/>
      <c r="F50" s="302"/>
      <c r="G50" s="140">
        <v>8</v>
      </c>
      <c r="H50" s="140"/>
      <c r="I50" s="292"/>
      <c r="J50" s="321"/>
      <c r="K50" s="305"/>
      <c r="L50" s="413"/>
      <c r="M50" s="460"/>
      <c r="N50" s="460"/>
    </row>
    <row r="51" spans="2:14" ht="12.75" customHeight="1" x14ac:dyDescent="0.3">
      <c r="B51" s="623"/>
      <c r="C51" s="623" t="s">
        <v>245</v>
      </c>
      <c r="D51" s="628" t="s">
        <v>8</v>
      </c>
      <c r="E51" s="629" t="s">
        <v>113</v>
      </c>
      <c r="F51" s="632" t="s">
        <v>175</v>
      </c>
      <c r="G51" s="621" t="s">
        <v>115</v>
      </c>
      <c r="H51" s="621"/>
      <c r="I51" s="621"/>
      <c r="J51" s="632" t="s">
        <v>176</v>
      </c>
      <c r="K51" s="655" t="s">
        <v>135</v>
      </c>
      <c r="L51" s="464"/>
      <c r="M51" s="464"/>
      <c r="N51" s="464"/>
    </row>
    <row r="52" spans="2:14" ht="15" customHeight="1" x14ac:dyDescent="0.3">
      <c r="B52" s="624"/>
      <c r="C52" s="624"/>
      <c r="D52" s="628"/>
      <c r="E52" s="630"/>
      <c r="F52" s="632"/>
      <c r="G52" s="621"/>
      <c r="H52" s="621"/>
      <c r="I52" s="621"/>
      <c r="J52" s="632"/>
      <c r="K52" s="655"/>
      <c r="L52" s="464"/>
      <c r="M52" s="464"/>
      <c r="N52" s="464"/>
    </row>
    <row r="53" spans="2:14" ht="27.75" customHeight="1" x14ac:dyDescent="0.3">
      <c r="B53" s="624"/>
      <c r="C53" s="624"/>
      <c r="D53" s="628"/>
      <c r="E53" s="630"/>
      <c r="F53" s="632"/>
      <c r="G53" s="621" t="s">
        <v>13</v>
      </c>
      <c r="H53" s="620" t="s">
        <v>15</v>
      </c>
      <c r="I53" s="620" t="s">
        <v>17</v>
      </c>
      <c r="J53" s="632"/>
      <c r="K53" s="655"/>
      <c r="L53" s="464"/>
      <c r="M53" s="464"/>
      <c r="N53" s="464"/>
    </row>
    <row r="54" spans="2:14" ht="87.75" customHeight="1" thickBot="1" x14ac:dyDescent="0.35">
      <c r="B54" s="624"/>
      <c r="C54" s="624"/>
      <c r="D54" s="628"/>
      <c r="E54" s="631"/>
      <c r="F54" s="632"/>
      <c r="G54" s="621"/>
      <c r="H54" s="621"/>
      <c r="I54" s="621"/>
      <c r="J54" s="632"/>
      <c r="K54" s="656"/>
      <c r="L54" s="464"/>
      <c r="M54" s="464"/>
      <c r="N54" s="464"/>
    </row>
    <row r="55" spans="2:14" ht="16.5" customHeight="1" x14ac:dyDescent="0.3">
      <c r="B55" s="306" t="str">
        <f>+LEFT(C55,4)</f>
        <v>14.1</v>
      </c>
      <c r="C55" s="642" t="s">
        <v>246</v>
      </c>
      <c r="D55" s="313" t="s">
        <v>247</v>
      </c>
      <c r="E55" s="617" t="s">
        <v>645</v>
      </c>
      <c r="F55" s="322">
        <v>3</v>
      </c>
      <c r="G55" s="141">
        <v>1</v>
      </c>
      <c r="H55" s="617" t="s">
        <v>646</v>
      </c>
      <c r="I55" s="617" t="s">
        <v>451</v>
      </c>
      <c r="J55" s="319">
        <v>2</v>
      </c>
      <c r="K55" s="394" t="str">
        <f t="shared" ref="K55:K79" si="5">+IF(OR(ISBLANK(F55),ISBLANK(J55)),"",IF(OR(AND(F55=1,J55=1),AND(F55=1,J55=2),AND(F55=1,J55=3)),"Deficiencia de control mayor (diseño y ejecución)",IF(OR(AND(F55=2,J55=2),AND(F55=3,J55=1),AND(F55=3,J55=2),AND(F55=2,J55=1)),"Deficiencia de control (diseño o ejecución)",IF(AND(F55=2,J55=3),"Oportunidad de mejora","Mantenimiento del control"))))</f>
        <v>Deficiencia de control (diseño o ejecución)</v>
      </c>
      <c r="L55" s="413">
        <f t="shared" ref="L55" si="6">+IF(K55="",231,IF(K55="Deficiencia de control mayor (diseño y ejecución)",240,IF(K55="Deficiencia de control (diseño o ejecución)",260,IF(K55="Oportunidad de mejora",280,300))))</f>
        <v>260</v>
      </c>
      <c r="M55" s="460">
        <v>4.8964999999999996</v>
      </c>
      <c r="N55" s="460">
        <f>+L55+M55</f>
        <v>264.8965</v>
      </c>
    </row>
    <row r="56" spans="2:14" ht="16.5" x14ac:dyDescent="0.3">
      <c r="B56" s="307"/>
      <c r="C56" s="643"/>
      <c r="D56" s="314"/>
      <c r="E56" s="618"/>
      <c r="F56" s="323"/>
      <c r="G56" s="138">
        <v>2</v>
      </c>
      <c r="H56" s="618"/>
      <c r="I56" s="618"/>
      <c r="J56" s="320"/>
      <c r="K56" s="304"/>
      <c r="L56" s="413"/>
      <c r="M56" s="460"/>
      <c r="N56" s="460"/>
    </row>
    <row r="57" spans="2:14" ht="16.5" x14ac:dyDescent="0.3">
      <c r="B57" s="307"/>
      <c r="C57" s="643"/>
      <c r="D57" s="314"/>
      <c r="E57" s="618"/>
      <c r="F57" s="323"/>
      <c r="G57" s="138">
        <v>3</v>
      </c>
      <c r="H57" s="618"/>
      <c r="I57" s="618"/>
      <c r="J57" s="320"/>
      <c r="K57" s="304"/>
      <c r="L57" s="413"/>
      <c r="M57" s="460"/>
      <c r="N57" s="460"/>
    </row>
    <row r="58" spans="2:14" ht="16.5" x14ac:dyDescent="0.3">
      <c r="B58" s="307"/>
      <c r="C58" s="643"/>
      <c r="D58" s="314"/>
      <c r="E58" s="618"/>
      <c r="F58" s="323"/>
      <c r="G58" s="138">
        <v>4</v>
      </c>
      <c r="H58" s="618"/>
      <c r="I58" s="618"/>
      <c r="J58" s="320"/>
      <c r="K58" s="304"/>
      <c r="L58" s="413"/>
      <c r="M58" s="460"/>
      <c r="N58" s="460"/>
    </row>
    <row r="59" spans="2:14" ht="16.5" x14ac:dyDescent="0.3">
      <c r="B59" s="307"/>
      <c r="C59" s="643"/>
      <c r="D59" s="314"/>
      <c r="E59" s="618"/>
      <c r="F59" s="323"/>
      <c r="G59" s="138">
        <v>5</v>
      </c>
      <c r="H59" s="618"/>
      <c r="I59" s="618"/>
      <c r="J59" s="320"/>
      <c r="K59" s="304"/>
      <c r="L59" s="413"/>
      <c r="M59" s="460"/>
      <c r="N59" s="460"/>
    </row>
    <row r="60" spans="2:14" ht="16.5" x14ac:dyDescent="0.3">
      <c r="B60" s="307"/>
      <c r="C60" s="643"/>
      <c r="D60" s="314"/>
      <c r="E60" s="618"/>
      <c r="F60" s="323"/>
      <c r="G60" s="138">
        <v>6</v>
      </c>
      <c r="H60" s="618"/>
      <c r="I60" s="618"/>
      <c r="J60" s="320"/>
      <c r="K60" s="304"/>
      <c r="L60" s="413"/>
      <c r="M60" s="460"/>
      <c r="N60" s="460"/>
    </row>
    <row r="61" spans="2:14" ht="0.75" customHeight="1" thickBot="1" x14ac:dyDescent="0.35">
      <c r="B61" s="307"/>
      <c r="C61" s="643"/>
      <c r="D61" s="314"/>
      <c r="E61" s="618"/>
      <c r="F61" s="323"/>
      <c r="G61" s="138">
        <v>7</v>
      </c>
      <c r="H61" s="618"/>
      <c r="I61" s="618"/>
      <c r="J61" s="320"/>
      <c r="K61" s="304"/>
      <c r="L61" s="413"/>
      <c r="M61" s="460"/>
      <c r="N61" s="460"/>
    </row>
    <row r="62" spans="2:14" ht="17.25" hidden="1" thickBot="1" x14ac:dyDescent="0.35">
      <c r="B62" s="308"/>
      <c r="C62" s="644"/>
      <c r="D62" s="315"/>
      <c r="E62" s="619"/>
      <c r="F62" s="324"/>
      <c r="G62" s="140">
        <v>8</v>
      </c>
      <c r="H62" s="619"/>
      <c r="I62" s="619"/>
      <c r="J62" s="321"/>
      <c r="K62" s="305"/>
      <c r="L62" s="413"/>
      <c r="M62" s="460"/>
      <c r="N62" s="460"/>
    </row>
    <row r="63" spans="2:14" ht="16.5" customHeight="1" x14ac:dyDescent="0.3">
      <c r="B63" s="306" t="str">
        <f>+LEFT(C63,4)</f>
        <v>14.2</v>
      </c>
      <c r="C63" s="625" t="s">
        <v>248</v>
      </c>
      <c r="D63" s="313" t="s">
        <v>247</v>
      </c>
      <c r="E63" s="617" t="s">
        <v>647</v>
      </c>
      <c r="F63" s="322">
        <v>2</v>
      </c>
      <c r="G63" s="141">
        <v>1</v>
      </c>
      <c r="H63" s="617" t="s">
        <v>648</v>
      </c>
      <c r="I63" s="612" t="s">
        <v>520</v>
      </c>
      <c r="J63" s="319">
        <v>2</v>
      </c>
      <c r="K63" s="394" t="str">
        <f t="shared" si="5"/>
        <v>Deficiencia de control (diseño o ejecución)</v>
      </c>
      <c r="L63" s="413">
        <f t="shared" ref="L63" si="7">+IF(K63="",231,IF(K63="Deficiencia de control mayor (diseño y ejecución)",240,IF(K63="Deficiencia de control (diseño o ejecución)",260,IF(K63="Oportunidad de mejora",280,300))))</f>
        <v>260</v>
      </c>
      <c r="M63" s="460">
        <v>4.9854000000000003</v>
      </c>
      <c r="N63" s="460">
        <f>+L63+M63</f>
        <v>264.98540000000003</v>
      </c>
    </row>
    <row r="64" spans="2:14" ht="16.5" x14ac:dyDescent="0.3">
      <c r="B64" s="307"/>
      <c r="C64" s="626"/>
      <c r="D64" s="314"/>
      <c r="E64" s="618"/>
      <c r="F64" s="323"/>
      <c r="G64" s="138">
        <v>2</v>
      </c>
      <c r="H64" s="618"/>
      <c r="I64" s="615"/>
      <c r="J64" s="320"/>
      <c r="K64" s="304"/>
      <c r="L64" s="413"/>
      <c r="M64" s="460"/>
      <c r="N64" s="460"/>
    </row>
    <row r="65" spans="2:14" ht="16.5" x14ac:dyDescent="0.3">
      <c r="B65" s="307"/>
      <c r="C65" s="626"/>
      <c r="D65" s="314"/>
      <c r="E65" s="618"/>
      <c r="F65" s="323"/>
      <c r="G65" s="138">
        <v>3</v>
      </c>
      <c r="H65" s="618"/>
      <c r="I65" s="615"/>
      <c r="J65" s="320"/>
      <c r="K65" s="304"/>
      <c r="L65" s="413"/>
      <c r="M65" s="460"/>
      <c r="N65" s="460"/>
    </row>
    <row r="66" spans="2:14" ht="16.5" x14ac:dyDescent="0.3">
      <c r="B66" s="307"/>
      <c r="C66" s="626"/>
      <c r="D66" s="314"/>
      <c r="E66" s="618"/>
      <c r="F66" s="323"/>
      <c r="G66" s="138">
        <v>4</v>
      </c>
      <c r="H66" s="618"/>
      <c r="I66" s="615"/>
      <c r="J66" s="320"/>
      <c r="K66" s="304"/>
      <c r="L66" s="413"/>
      <c r="M66" s="460"/>
      <c r="N66" s="460"/>
    </row>
    <row r="67" spans="2:14" ht="16.5" customHeight="1" thickBot="1" x14ac:dyDescent="0.35">
      <c r="B67" s="307"/>
      <c r="C67" s="626"/>
      <c r="D67" s="314"/>
      <c r="E67" s="618"/>
      <c r="F67" s="323"/>
      <c r="G67" s="138">
        <v>5</v>
      </c>
      <c r="H67" s="618"/>
      <c r="I67" s="615"/>
      <c r="J67" s="320"/>
      <c r="K67" s="304"/>
      <c r="L67" s="413"/>
      <c r="M67" s="460"/>
      <c r="N67" s="460"/>
    </row>
    <row r="68" spans="2:14" ht="17.25" hidden="1" thickBot="1" x14ac:dyDescent="0.35">
      <c r="B68" s="307"/>
      <c r="C68" s="626"/>
      <c r="D68" s="314"/>
      <c r="E68" s="618"/>
      <c r="F68" s="323"/>
      <c r="G68" s="138">
        <v>6</v>
      </c>
      <c r="H68" s="618"/>
      <c r="I68" s="615"/>
      <c r="J68" s="320"/>
      <c r="K68" s="304"/>
      <c r="L68" s="413"/>
      <c r="M68" s="460"/>
      <c r="N68" s="460"/>
    </row>
    <row r="69" spans="2:14" ht="3.75" hidden="1" customHeight="1" thickBot="1" x14ac:dyDescent="0.35">
      <c r="B69" s="307"/>
      <c r="C69" s="626"/>
      <c r="D69" s="314"/>
      <c r="E69" s="618"/>
      <c r="F69" s="323"/>
      <c r="G69" s="138">
        <v>7</v>
      </c>
      <c r="H69" s="618"/>
      <c r="I69" s="615"/>
      <c r="J69" s="320"/>
      <c r="K69" s="304"/>
      <c r="L69" s="413"/>
      <c r="M69" s="460"/>
      <c r="N69" s="460"/>
    </row>
    <row r="70" spans="2:14" ht="17.25" hidden="1" thickBot="1" x14ac:dyDescent="0.35">
      <c r="B70" s="308"/>
      <c r="C70" s="627"/>
      <c r="D70" s="315"/>
      <c r="E70" s="619"/>
      <c r="F70" s="324"/>
      <c r="G70" s="140">
        <v>8</v>
      </c>
      <c r="H70" s="619"/>
      <c r="I70" s="616"/>
      <c r="J70" s="321"/>
      <c r="K70" s="305"/>
      <c r="L70" s="413"/>
      <c r="M70" s="460"/>
      <c r="N70" s="460"/>
    </row>
    <row r="71" spans="2:14" ht="16.5" x14ac:dyDescent="0.3">
      <c r="B71" s="306" t="str">
        <f>+LEFT(C71,4)</f>
        <v>14.3</v>
      </c>
      <c r="C71" s="639" t="s">
        <v>249</v>
      </c>
      <c r="D71" s="313" t="s">
        <v>247</v>
      </c>
      <c r="E71" s="617" t="s">
        <v>452</v>
      </c>
      <c r="F71" s="322">
        <v>3</v>
      </c>
      <c r="G71" s="141">
        <v>1</v>
      </c>
      <c r="H71" s="617" t="s">
        <v>649</v>
      </c>
      <c r="I71" s="617" t="s">
        <v>650</v>
      </c>
      <c r="J71" s="319">
        <v>3</v>
      </c>
      <c r="K71" s="394" t="str">
        <f t="shared" si="5"/>
        <v>Mantenimiento del control</v>
      </c>
      <c r="L71" s="413">
        <f t="shared" ref="L71" si="8">+IF(K71="",231,IF(K71="Deficiencia de control mayor (diseño y ejecución)",240,IF(K71="Deficiencia de control (diseño o ejecución)",260,IF(K71="Oportunidad de mejora",280,300))))</f>
        <v>300</v>
      </c>
      <c r="M71" s="460">
        <v>5.0122999999999998</v>
      </c>
      <c r="N71" s="460">
        <f>+L71+M71</f>
        <v>305.01229999999998</v>
      </c>
    </row>
    <row r="72" spans="2:14" ht="16.5" x14ac:dyDescent="0.3">
      <c r="B72" s="307"/>
      <c r="C72" s="640"/>
      <c r="D72" s="314"/>
      <c r="E72" s="618"/>
      <c r="F72" s="323"/>
      <c r="G72" s="138">
        <v>2</v>
      </c>
      <c r="H72" s="618"/>
      <c r="I72" s="618"/>
      <c r="J72" s="320"/>
      <c r="K72" s="304"/>
      <c r="L72" s="413"/>
      <c r="M72" s="460"/>
      <c r="N72" s="460"/>
    </row>
    <row r="73" spans="2:14" ht="16.5" x14ac:dyDescent="0.3">
      <c r="B73" s="307"/>
      <c r="C73" s="640"/>
      <c r="D73" s="314"/>
      <c r="E73" s="618"/>
      <c r="F73" s="323"/>
      <c r="G73" s="138">
        <v>3</v>
      </c>
      <c r="H73" s="618"/>
      <c r="I73" s="618"/>
      <c r="J73" s="320"/>
      <c r="K73" s="304"/>
      <c r="L73" s="413"/>
      <c r="M73" s="460"/>
      <c r="N73" s="460"/>
    </row>
    <row r="74" spans="2:14" ht="16.5" x14ac:dyDescent="0.3">
      <c r="B74" s="307"/>
      <c r="C74" s="640"/>
      <c r="D74" s="314"/>
      <c r="E74" s="618"/>
      <c r="F74" s="323"/>
      <c r="G74" s="138">
        <v>4</v>
      </c>
      <c r="H74" s="618"/>
      <c r="I74" s="618"/>
      <c r="J74" s="320"/>
      <c r="K74" s="304"/>
      <c r="L74" s="413"/>
      <c r="M74" s="460"/>
      <c r="N74" s="460"/>
    </row>
    <row r="75" spans="2:14" ht="16.5" x14ac:dyDescent="0.3">
      <c r="B75" s="307"/>
      <c r="C75" s="640"/>
      <c r="D75" s="314"/>
      <c r="E75" s="618"/>
      <c r="F75" s="323"/>
      <c r="G75" s="138">
        <v>5</v>
      </c>
      <c r="H75" s="618"/>
      <c r="I75" s="618"/>
      <c r="J75" s="320"/>
      <c r="K75" s="304"/>
      <c r="L75" s="413"/>
      <c r="M75" s="460"/>
      <c r="N75" s="460"/>
    </row>
    <row r="76" spans="2:14" ht="31.5" customHeight="1" thickBot="1" x14ac:dyDescent="0.35">
      <c r="B76" s="307"/>
      <c r="C76" s="640"/>
      <c r="D76" s="314"/>
      <c r="E76" s="618"/>
      <c r="F76" s="323"/>
      <c r="G76" s="138">
        <v>6</v>
      </c>
      <c r="H76" s="618"/>
      <c r="I76" s="618"/>
      <c r="J76" s="320"/>
      <c r="K76" s="304"/>
      <c r="L76" s="413"/>
      <c r="M76" s="460"/>
      <c r="N76" s="460"/>
    </row>
    <row r="77" spans="2:14" ht="17.25" hidden="1" thickBot="1" x14ac:dyDescent="0.35">
      <c r="B77" s="307"/>
      <c r="C77" s="640"/>
      <c r="D77" s="314"/>
      <c r="E77" s="618"/>
      <c r="F77" s="323"/>
      <c r="G77" s="138">
        <v>7</v>
      </c>
      <c r="H77" s="618"/>
      <c r="I77" s="618"/>
      <c r="J77" s="320"/>
      <c r="K77" s="304"/>
      <c r="L77" s="413"/>
      <c r="M77" s="460"/>
      <c r="N77" s="460"/>
    </row>
    <row r="78" spans="2:14" ht="17.25" hidden="1" thickBot="1" x14ac:dyDescent="0.35">
      <c r="B78" s="308"/>
      <c r="C78" s="641"/>
      <c r="D78" s="315"/>
      <c r="E78" s="619"/>
      <c r="F78" s="324"/>
      <c r="G78" s="140">
        <v>8</v>
      </c>
      <c r="H78" s="619"/>
      <c r="I78" s="619"/>
      <c r="J78" s="321"/>
      <c r="K78" s="305"/>
      <c r="L78" s="413"/>
      <c r="M78" s="460"/>
      <c r="N78" s="460"/>
    </row>
    <row r="79" spans="2:14" ht="16.5" customHeight="1" x14ac:dyDescent="0.3">
      <c r="B79" s="306" t="str">
        <f>+LEFT(C79,4)</f>
        <v>14.4</v>
      </c>
      <c r="C79" s="625" t="s">
        <v>250</v>
      </c>
      <c r="D79" s="313" t="s">
        <v>247</v>
      </c>
      <c r="E79" s="617" t="s">
        <v>651</v>
      </c>
      <c r="F79" s="322">
        <v>3</v>
      </c>
      <c r="G79" s="141">
        <v>1</v>
      </c>
      <c r="H79" s="612" t="s">
        <v>652</v>
      </c>
      <c r="I79" s="617" t="s">
        <v>653</v>
      </c>
      <c r="J79" s="319">
        <v>2</v>
      </c>
      <c r="K79" s="394" t="str">
        <f t="shared" si="5"/>
        <v>Deficiencia de control (diseño o ejecución)</v>
      </c>
      <c r="L79" s="413">
        <f t="shared" ref="L79" si="9">+IF(K79="",231,IF(K79="Deficiencia de control mayor (diseño y ejecución)",240,IF(K79="Deficiencia de control (diseño o ejecución)",260,IF(K79="Oportunidad de mejora",280,300))))</f>
        <v>260</v>
      </c>
      <c r="M79" s="460">
        <v>5.1235999999999997</v>
      </c>
      <c r="N79" s="460">
        <f>+L79+M79</f>
        <v>265.12360000000001</v>
      </c>
    </row>
    <row r="80" spans="2:14" ht="28.5" customHeight="1" x14ac:dyDescent="0.3">
      <c r="B80" s="307"/>
      <c r="C80" s="626"/>
      <c r="D80" s="314"/>
      <c r="E80" s="618"/>
      <c r="F80" s="323"/>
      <c r="G80" s="138">
        <v>2</v>
      </c>
      <c r="H80" s="615"/>
      <c r="I80" s="618"/>
      <c r="J80" s="320"/>
      <c r="K80" s="304"/>
      <c r="L80" s="413"/>
      <c r="M80" s="460"/>
      <c r="N80" s="460"/>
    </row>
    <row r="81" spans="2:14" ht="28.5" customHeight="1" x14ac:dyDescent="0.3">
      <c r="B81" s="307"/>
      <c r="C81" s="626"/>
      <c r="D81" s="314"/>
      <c r="E81" s="618"/>
      <c r="F81" s="323"/>
      <c r="G81" s="138">
        <v>3</v>
      </c>
      <c r="H81" s="615"/>
      <c r="I81" s="618"/>
      <c r="J81" s="320"/>
      <c r="K81" s="304"/>
      <c r="L81" s="413"/>
      <c r="M81" s="460"/>
      <c r="N81" s="460"/>
    </row>
    <row r="82" spans="2:14" ht="28.5" customHeight="1" x14ac:dyDescent="0.3">
      <c r="B82" s="307"/>
      <c r="C82" s="626"/>
      <c r="D82" s="314"/>
      <c r="E82" s="618"/>
      <c r="F82" s="323"/>
      <c r="G82" s="138">
        <v>4</v>
      </c>
      <c r="H82" s="615"/>
      <c r="I82" s="618"/>
      <c r="J82" s="320"/>
      <c r="K82" s="304"/>
      <c r="L82" s="413"/>
      <c r="M82" s="460"/>
      <c r="N82" s="460"/>
    </row>
    <row r="83" spans="2:14" ht="28.5" customHeight="1" x14ac:dyDescent="0.3">
      <c r="B83" s="307"/>
      <c r="C83" s="626"/>
      <c r="D83" s="314"/>
      <c r="E83" s="618"/>
      <c r="F83" s="323"/>
      <c r="G83" s="138">
        <v>5</v>
      </c>
      <c r="H83" s="615"/>
      <c r="I83" s="618"/>
      <c r="J83" s="320"/>
      <c r="K83" s="304"/>
      <c r="L83" s="413"/>
      <c r="M83" s="460"/>
      <c r="N83" s="460"/>
    </row>
    <row r="84" spans="2:14" ht="28.5" customHeight="1" x14ac:dyDescent="0.3">
      <c r="B84" s="307"/>
      <c r="C84" s="626"/>
      <c r="D84" s="314"/>
      <c r="E84" s="618"/>
      <c r="F84" s="323"/>
      <c r="G84" s="138">
        <v>6</v>
      </c>
      <c r="H84" s="615"/>
      <c r="I84" s="618"/>
      <c r="J84" s="320"/>
      <c r="K84" s="304"/>
      <c r="L84" s="413"/>
      <c r="M84" s="460"/>
      <c r="N84" s="460"/>
    </row>
    <row r="85" spans="2:14" ht="28.5" customHeight="1" x14ac:dyDescent="0.3">
      <c r="B85" s="307"/>
      <c r="C85" s="626"/>
      <c r="D85" s="314"/>
      <c r="E85" s="618"/>
      <c r="F85" s="323"/>
      <c r="G85" s="138">
        <v>7</v>
      </c>
      <c r="H85" s="615"/>
      <c r="I85" s="618"/>
      <c r="J85" s="320"/>
      <c r="K85" s="304"/>
      <c r="L85" s="413"/>
      <c r="M85" s="460"/>
      <c r="N85" s="460"/>
    </row>
    <row r="86" spans="2:14" ht="3" customHeight="1" thickBot="1" x14ac:dyDescent="0.35">
      <c r="B86" s="308"/>
      <c r="C86" s="627"/>
      <c r="D86" s="315"/>
      <c r="E86" s="619"/>
      <c r="F86" s="324"/>
      <c r="G86" s="140">
        <v>8</v>
      </c>
      <c r="H86" s="616"/>
      <c r="I86" s="619"/>
      <c r="J86" s="321"/>
      <c r="K86" s="305"/>
      <c r="L86" s="413"/>
      <c r="M86" s="460"/>
      <c r="N86" s="460"/>
    </row>
    <row r="87" spans="2:14" ht="12.75" customHeight="1" x14ac:dyDescent="0.3">
      <c r="B87" s="623"/>
      <c r="C87" s="623" t="s">
        <v>251</v>
      </c>
      <c r="D87" s="628" t="s">
        <v>8</v>
      </c>
      <c r="E87" s="629" t="s">
        <v>113</v>
      </c>
      <c r="F87" s="632" t="s">
        <v>175</v>
      </c>
      <c r="G87" s="621" t="s">
        <v>115</v>
      </c>
      <c r="H87" s="621"/>
      <c r="I87" s="621"/>
      <c r="J87" s="632" t="s">
        <v>176</v>
      </c>
      <c r="K87" s="655" t="s">
        <v>135</v>
      </c>
      <c r="L87" s="464"/>
      <c r="M87" s="464"/>
      <c r="N87" s="464"/>
    </row>
    <row r="88" spans="2:14" ht="15" customHeight="1" x14ac:dyDescent="0.3">
      <c r="B88" s="624"/>
      <c r="C88" s="624"/>
      <c r="D88" s="628"/>
      <c r="E88" s="630"/>
      <c r="F88" s="632"/>
      <c r="G88" s="621"/>
      <c r="H88" s="621"/>
      <c r="I88" s="621"/>
      <c r="J88" s="632"/>
      <c r="K88" s="655"/>
      <c r="L88" s="464"/>
      <c r="M88" s="464"/>
      <c r="N88" s="464"/>
    </row>
    <row r="89" spans="2:14" ht="27.75" customHeight="1" x14ac:dyDescent="0.3">
      <c r="B89" s="624"/>
      <c r="C89" s="624"/>
      <c r="D89" s="628"/>
      <c r="E89" s="630"/>
      <c r="F89" s="632"/>
      <c r="G89" s="621" t="s">
        <v>13</v>
      </c>
      <c r="H89" s="620" t="s">
        <v>15</v>
      </c>
      <c r="I89" s="620" t="s">
        <v>17</v>
      </c>
      <c r="J89" s="632"/>
      <c r="K89" s="655"/>
      <c r="L89" s="464"/>
      <c r="M89" s="464"/>
      <c r="N89" s="464"/>
    </row>
    <row r="90" spans="2:14" ht="72" customHeight="1" thickBot="1" x14ac:dyDescent="0.35">
      <c r="B90" s="624"/>
      <c r="C90" s="624"/>
      <c r="D90" s="628"/>
      <c r="E90" s="631"/>
      <c r="F90" s="632"/>
      <c r="G90" s="621"/>
      <c r="H90" s="621"/>
      <c r="I90" s="621"/>
      <c r="J90" s="632"/>
      <c r="K90" s="656"/>
      <c r="L90" s="464"/>
      <c r="M90" s="464"/>
      <c r="N90" s="464"/>
    </row>
    <row r="91" spans="2:14" ht="22.5" customHeight="1" x14ac:dyDescent="0.3">
      <c r="B91" s="306" t="str">
        <f>+LEFT(C91,4)</f>
        <v>15.1</v>
      </c>
      <c r="C91" s="636" t="s">
        <v>252</v>
      </c>
      <c r="D91" s="313" t="s">
        <v>253</v>
      </c>
      <c r="E91" s="612" t="s">
        <v>654</v>
      </c>
      <c r="F91" s="322">
        <v>2</v>
      </c>
      <c r="G91" s="141">
        <v>1</v>
      </c>
      <c r="H91" s="612" t="s">
        <v>655</v>
      </c>
      <c r="I91" s="612" t="s">
        <v>656</v>
      </c>
      <c r="J91" s="319">
        <v>1</v>
      </c>
      <c r="K91" s="394" t="str">
        <f t="shared" ref="K91:K131" si="10">+IF(OR(ISBLANK(F91),ISBLANK(J91)),"",IF(OR(AND(F91=1,J91=1),AND(F91=1,J91=2),AND(F91=1,J91=3)),"Deficiencia de control mayor (diseño y ejecución)",IF(OR(AND(F91=2,J91=2),AND(F91=3,J91=1),AND(F91=3,J91=2),AND(F91=2,J91=1)),"Deficiencia de control (diseño o ejecución)",IF(AND(F91=2,J91=3),"Oportunidad de mejora","Mantenimiento del control"))))</f>
        <v>Deficiencia de control (diseño o ejecución)</v>
      </c>
      <c r="L91" s="413">
        <f t="shared" ref="L91" si="11">+IF(K91="",231,IF(K91="Deficiencia de control mayor (diseño y ejecución)",240,IF(K91="Deficiencia de control (diseño o ejecución)",260,IF(K91="Oportunidad de mejora",280,300))))</f>
        <v>260</v>
      </c>
      <c r="M91" s="460">
        <v>5.2369000000000003</v>
      </c>
      <c r="N91" s="460">
        <f>+L91+M91</f>
        <v>265.23689999999999</v>
      </c>
    </row>
    <row r="92" spans="2:14" ht="22.5" customHeight="1" x14ac:dyDescent="0.3">
      <c r="B92" s="307"/>
      <c r="C92" s="636"/>
      <c r="D92" s="314"/>
      <c r="E92" s="615"/>
      <c r="F92" s="323"/>
      <c r="G92" s="138">
        <v>2</v>
      </c>
      <c r="H92" s="615"/>
      <c r="I92" s="613"/>
      <c r="J92" s="320"/>
      <c r="K92" s="304"/>
      <c r="L92" s="413"/>
      <c r="M92" s="460"/>
      <c r="N92" s="460"/>
    </row>
    <row r="93" spans="2:14" ht="22.5" customHeight="1" x14ac:dyDescent="0.3">
      <c r="B93" s="307"/>
      <c r="C93" s="636"/>
      <c r="D93" s="314"/>
      <c r="E93" s="615"/>
      <c r="F93" s="323"/>
      <c r="G93" s="138">
        <v>3</v>
      </c>
      <c r="H93" s="615"/>
      <c r="I93" s="613"/>
      <c r="J93" s="320"/>
      <c r="K93" s="304"/>
      <c r="L93" s="413"/>
      <c r="M93" s="460"/>
      <c r="N93" s="460"/>
    </row>
    <row r="94" spans="2:14" ht="22.5" customHeight="1" x14ac:dyDescent="0.3">
      <c r="B94" s="307"/>
      <c r="C94" s="636"/>
      <c r="D94" s="314"/>
      <c r="E94" s="615"/>
      <c r="F94" s="323"/>
      <c r="G94" s="138">
        <v>4</v>
      </c>
      <c r="H94" s="615"/>
      <c r="I94" s="613"/>
      <c r="J94" s="320"/>
      <c r="K94" s="304"/>
      <c r="L94" s="413"/>
      <c r="M94" s="460"/>
      <c r="N94" s="460"/>
    </row>
    <row r="95" spans="2:14" ht="22.5" customHeight="1" x14ac:dyDescent="0.3">
      <c r="B95" s="307"/>
      <c r="C95" s="636"/>
      <c r="D95" s="314"/>
      <c r="E95" s="615"/>
      <c r="F95" s="323"/>
      <c r="G95" s="138">
        <v>5</v>
      </c>
      <c r="H95" s="615"/>
      <c r="I95" s="613"/>
      <c r="J95" s="320"/>
      <c r="K95" s="304"/>
      <c r="L95" s="413"/>
      <c r="M95" s="460"/>
      <c r="N95" s="460"/>
    </row>
    <row r="96" spans="2:14" ht="0.75" customHeight="1" thickBot="1" x14ac:dyDescent="0.35">
      <c r="B96" s="307"/>
      <c r="C96" s="636"/>
      <c r="D96" s="314"/>
      <c r="E96" s="615"/>
      <c r="F96" s="323"/>
      <c r="G96" s="138">
        <v>6</v>
      </c>
      <c r="H96" s="615"/>
      <c r="I96" s="613"/>
      <c r="J96" s="320"/>
      <c r="K96" s="304"/>
      <c r="L96" s="413"/>
      <c r="M96" s="460"/>
      <c r="N96" s="460"/>
    </row>
    <row r="97" spans="2:14" ht="22.5" hidden="1" customHeight="1" thickBot="1" x14ac:dyDescent="0.35">
      <c r="B97" s="307"/>
      <c r="C97" s="636"/>
      <c r="D97" s="314"/>
      <c r="E97" s="615"/>
      <c r="F97" s="323"/>
      <c r="G97" s="138">
        <v>7</v>
      </c>
      <c r="H97" s="615"/>
      <c r="I97" s="613"/>
      <c r="J97" s="320"/>
      <c r="K97" s="304"/>
      <c r="L97" s="413"/>
      <c r="M97" s="460"/>
      <c r="N97" s="460"/>
    </row>
    <row r="98" spans="2:14" ht="22.5" hidden="1" customHeight="1" thickBot="1" x14ac:dyDescent="0.35">
      <c r="B98" s="308"/>
      <c r="C98" s="637"/>
      <c r="D98" s="315"/>
      <c r="E98" s="616"/>
      <c r="F98" s="324"/>
      <c r="G98" s="140">
        <v>8</v>
      </c>
      <c r="H98" s="616"/>
      <c r="I98" s="614"/>
      <c r="J98" s="321"/>
      <c r="K98" s="305"/>
      <c r="L98" s="413"/>
      <c r="M98" s="460"/>
      <c r="N98" s="460"/>
    </row>
    <row r="99" spans="2:14" ht="26.25" customHeight="1" x14ac:dyDescent="0.3">
      <c r="B99" s="306" t="str">
        <f>+LEFT(C99,4)</f>
        <v>15.2</v>
      </c>
      <c r="C99" s="648" t="s">
        <v>254</v>
      </c>
      <c r="D99" s="313" t="s">
        <v>255</v>
      </c>
      <c r="E99" s="617" t="s">
        <v>657</v>
      </c>
      <c r="F99" s="322">
        <v>3</v>
      </c>
      <c r="G99" s="141">
        <v>1</v>
      </c>
      <c r="H99" s="617" t="s">
        <v>658</v>
      </c>
      <c r="I99" s="612" t="s">
        <v>659</v>
      </c>
      <c r="J99" s="319">
        <v>3</v>
      </c>
      <c r="K99" s="394" t="str">
        <f t="shared" si="10"/>
        <v>Mantenimiento del control</v>
      </c>
      <c r="L99" s="413">
        <f t="shared" ref="L99" si="12">+IF(K99="",231,IF(K99="Deficiencia de control mayor (diseño y ejecución)",240,IF(K99="Deficiencia de control (diseño o ejecución)",260,IF(K99="Oportunidad de mejora",280,300))))</f>
        <v>300</v>
      </c>
      <c r="M99" s="460">
        <v>5.3654000000000002</v>
      </c>
      <c r="N99" s="460">
        <f>+L99+M99</f>
        <v>305.36540000000002</v>
      </c>
    </row>
    <row r="100" spans="2:14" ht="26.25" customHeight="1" x14ac:dyDescent="0.3">
      <c r="B100" s="307"/>
      <c r="C100" s="648"/>
      <c r="D100" s="314"/>
      <c r="E100" s="618"/>
      <c r="F100" s="323"/>
      <c r="G100" s="138">
        <v>2</v>
      </c>
      <c r="H100" s="618"/>
      <c r="I100" s="615"/>
      <c r="J100" s="320"/>
      <c r="K100" s="304"/>
      <c r="L100" s="413"/>
      <c r="M100" s="460"/>
      <c r="N100" s="460"/>
    </row>
    <row r="101" spans="2:14" ht="26.25" customHeight="1" x14ac:dyDescent="0.3">
      <c r="B101" s="307"/>
      <c r="C101" s="648"/>
      <c r="D101" s="314"/>
      <c r="E101" s="618"/>
      <c r="F101" s="323"/>
      <c r="G101" s="138">
        <v>3</v>
      </c>
      <c r="H101" s="618"/>
      <c r="I101" s="615"/>
      <c r="J101" s="320"/>
      <c r="K101" s="304"/>
      <c r="L101" s="413"/>
      <c r="M101" s="460"/>
      <c r="N101" s="460"/>
    </row>
    <row r="102" spans="2:14" ht="26.25" customHeight="1" x14ac:dyDescent="0.3">
      <c r="B102" s="307"/>
      <c r="C102" s="648"/>
      <c r="D102" s="314"/>
      <c r="E102" s="618"/>
      <c r="F102" s="323"/>
      <c r="G102" s="138">
        <v>4</v>
      </c>
      <c r="H102" s="618"/>
      <c r="I102" s="615"/>
      <c r="J102" s="320"/>
      <c r="K102" s="304"/>
      <c r="L102" s="413"/>
      <c r="M102" s="460"/>
      <c r="N102" s="460"/>
    </row>
    <row r="103" spans="2:14" ht="26.25" customHeight="1" x14ac:dyDescent="0.3">
      <c r="B103" s="307"/>
      <c r="C103" s="648"/>
      <c r="D103" s="314"/>
      <c r="E103" s="618"/>
      <c r="F103" s="323"/>
      <c r="G103" s="138">
        <v>5</v>
      </c>
      <c r="H103" s="618"/>
      <c r="I103" s="615"/>
      <c r="J103" s="320"/>
      <c r="K103" s="304"/>
      <c r="L103" s="413"/>
      <c r="M103" s="460"/>
      <c r="N103" s="460"/>
    </row>
    <row r="104" spans="2:14" ht="26.25" customHeight="1" x14ac:dyDescent="0.3">
      <c r="B104" s="307"/>
      <c r="C104" s="648"/>
      <c r="D104" s="314"/>
      <c r="E104" s="618"/>
      <c r="F104" s="323"/>
      <c r="G104" s="138">
        <v>6</v>
      </c>
      <c r="H104" s="618"/>
      <c r="I104" s="615"/>
      <c r="J104" s="320"/>
      <c r="K104" s="304"/>
      <c r="L104" s="413"/>
      <c r="M104" s="460"/>
      <c r="N104" s="460"/>
    </row>
    <row r="105" spans="2:14" ht="8.25" customHeight="1" thickBot="1" x14ac:dyDescent="0.35">
      <c r="B105" s="307"/>
      <c r="C105" s="648"/>
      <c r="D105" s="314"/>
      <c r="E105" s="618"/>
      <c r="F105" s="323"/>
      <c r="G105" s="138">
        <v>7</v>
      </c>
      <c r="H105" s="618"/>
      <c r="I105" s="615"/>
      <c r="J105" s="320"/>
      <c r="K105" s="304"/>
      <c r="L105" s="413"/>
      <c r="M105" s="460"/>
      <c r="N105" s="460"/>
    </row>
    <row r="106" spans="2:14" ht="26.25" hidden="1" customHeight="1" thickBot="1" x14ac:dyDescent="0.35">
      <c r="B106" s="308"/>
      <c r="C106" s="648"/>
      <c r="D106" s="315"/>
      <c r="E106" s="619"/>
      <c r="F106" s="324"/>
      <c r="G106" s="140">
        <v>8</v>
      </c>
      <c r="H106" s="619"/>
      <c r="I106" s="616"/>
      <c r="J106" s="321"/>
      <c r="K106" s="305"/>
      <c r="L106" s="413"/>
      <c r="M106" s="460"/>
      <c r="N106" s="460"/>
    </row>
    <row r="107" spans="2:14" ht="16.5" x14ac:dyDescent="0.3">
      <c r="B107" s="306" t="str">
        <f>+LEFT(C107,4)</f>
        <v>15.3</v>
      </c>
      <c r="C107" s="653" t="s">
        <v>256</v>
      </c>
      <c r="D107" s="313" t="s">
        <v>257</v>
      </c>
      <c r="E107" s="617" t="s">
        <v>660</v>
      </c>
      <c r="F107" s="322">
        <v>3</v>
      </c>
      <c r="G107" s="141">
        <v>1</v>
      </c>
      <c r="H107" s="617" t="s">
        <v>661</v>
      </c>
      <c r="I107" s="617" t="s">
        <v>453</v>
      </c>
      <c r="J107" s="319">
        <v>2</v>
      </c>
      <c r="K107" s="394" t="str">
        <f t="shared" si="10"/>
        <v>Deficiencia de control (diseño o ejecución)</v>
      </c>
      <c r="L107" s="413">
        <f t="shared" ref="L107" si="13">+IF(K107="",231,IF(K107="Deficiencia de control mayor (diseño y ejecución)",240,IF(K107="Deficiencia de control (diseño o ejecución)",260,IF(K107="Oportunidad de mejora",280,300))))</f>
        <v>260</v>
      </c>
      <c r="M107" s="460">
        <v>5.4562999999999997</v>
      </c>
      <c r="N107" s="460">
        <f>+L107+M107</f>
        <v>265.4563</v>
      </c>
    </row>
    <row r="108" spans="2:14" ht="16.5" x14ac:dyDescent="0.3">
      <c r="B108" s="307"/>
      <c r="C108" s="636"/>
      <c r="D108" s="314"/>
      <c r="E108" s="618"/>
      <c r="F108" s="323"/>
      <c r="G108" s="138">
        <v>2</v>
      </c>
      <c r="H108" s="618"/>
      <c r="I108" s="618"/>
      <c r="J108" s="320"/>
      <c r="K108" s="304"/>
      <c r="L108" s="413"/>
      <c r="M108" s="460"/>
      <c r="N108" s="460"/>
    </row>
    <row r="109" spans="2:14" ht="16.5" x14ac:dyDescent="0.3">
      <c r="B109" s="307"/>
      <c r="C109" s="636"/>
      <c r="D109" s="314"/>
      <c r="E109" s="618"/>
      <c r="F109" s="323"/>
      <c r="G109" s="138">
        <v>3</v>
      </c>
      <c r="H109" s="618"/>
      <c r="I109" s="618"/>
      <c r="J109" s="320"/>
      <c r="K109" s="304"/>
      <c r="L109" s="413"/>
      <c r="M109" s="460"/>
      <c r="N109" s="460"/>
    </row>
    <row r="110" spans="2:14" ht="16.5" x14ac:dyDescent="0.3">
      <c r="B110" s="307"/>
      <c r="C110" s="636"/>
      <c r="D110" s="314"/>
      <c r="E110" s="618"/>
      <c r="F110" s="323"/>
      <c r="G110" s="138">
        <v>4</v>
      </c>
      <c r="H110" s="618"/>
      <c r="I110" s="618"/>
      <c r="J110" s="320"/>
      <c r="K110" s="304"/>
      <c r="L110" s="413"/>
      <c r="M110" s="460"/>
      <c r="N110" s="460"/>
    </row>
    <row r="111" spans="2:14" ht="16.5" x14ac:dyDescent="0.3">
      <c r="B111" s="307"/>
      <c r="C111" s="636"/>
      <c r="D111" s="314"/>
      <c r="E111" s="618"/>
      <c r="F111" s="323"/>
      <c r="G111" s="138">
        <v>5</v>
      </c>
      <c r="H111" s="618"/>
      <c r="I111" s="618"/>
      <c r="J111" s="320"/>
      <c r="K111" s="304"/>
      <c r="L111" s="413"/>
      <c r="M111" s="460"/>
      <c r="N111" s="460"/>
    </row>
    <row r="112" spans="2:14" ht="16.5" x14ac:dyDescent="0.3">
      <c r="B112" s="307"/>
      <c r="C112" s="636"/>
      <c r="D112" s="314"/>
      <c r="E112" s="618"/>
      <c r="F112" s="323"/>
      <c r="G112" s="138">
        <v>6</v>
      </c>
      <c r="H112" s="618"/>
      <c r="I112" s="618"/>
      <c r="J112" s="320"/>
      <c r="K112" s="304"/>
      <c r="L112" s="413"/>
      <c r="M112" s="460"/>
      <c r="N112" s="460"/>
    </row>
    <row r="113" spans="2:14" ht="16.5" x14ac:dyDescent="0.3">
      <c r="B113" s="307"/>
      <c r="C113" s="636"/>
      <c r="D113" s="314"/>
      <c r="E113" s="618"/>
      <c r="F113" s="323"/>
      <c r="G113" s="138">
        <v>7</v>
      </c>
      <c r="H113" s="618"/>
      <c r="I113" s="618"/>
      <c r="J113" s="320"/>
      <c r="K113" s="304"/>
      <c r="L113" s="413"/>
      <c r="M113" s="460"/>
      <c r="N113" s="460"/>
    </row>
    <row r="114" spans="2:14" ht="17.25" thickBot="1" x14ac:dyDescent="0.35">
      <c r="B114" s="308"/>
      <c r="C114" s="637"/>
      <c r="D114" s="315"/>
      <c r="E114" s="619"/>
      <c r="F114" s="324"/>
      <c r="G114" s="140">
        <v>8</v>
      </c>
      <c r="H114" s="619"/>
      <c r="I114" s="619"/>
      <c r="J114" s="321"/>
      <c r="K114" s="305"/>
      <c r="L114" s="413"/>
      <c r="M114" s="460"/>
      <c r="N114" s="460"/>
    </row>
    <row r="115" spans="2:14" ht="16.5" x14ac:dyDescent="0.3">
      <c r="B115" s="306" t="str">
        <f>+LEFT(C115,4)</f>
        <v>15.4</v>
      </c>
      <c r="C115" s="654" t="s">
        <v>258</v>
      </c>
      <c r="D115" s="313" t="s">
        <v>259</v>
      </c>
      <c r="E115" s="617" t="s">
        <v>450</v>
      </c>
      <c r="F115" s="322">
        <v>2</v>
      </c>
      <c r="G115" s="141">
        <v>1</v>
      </c>
      <c r="H115" s="617" t="s">
        <v>662</v>
      </c>
      <c r="I115" s="612" t="s">
        <v>663</v>
      </c>
      <c r="J115" s="319">
        <v>2</v>
      </c>
      <c r="K115" s="394" t="str">
        <f t="shared" si="10"/>
        <v>Deficiencia de control (diseño o ejecución)</v>
      </c>
      <c r="L115" s="413">
        <f t="shared" ref="L115" si="14">+IF(K115="",231,IF(K115="Deficiencia de control mayor (diseño y ejecución)",240,IF(K115="Deficiencia de control (diseño o ejecución)",260,IF(K115="Oportunidad de mejora",280,300))))</f>
        <v>260</v>
      </c>
      <c r="M115" s="460">
        <v>5.5632000000000001</v>
      </c>
      <c r="N115" s="460">
        <f>+L115+M115</f>
        <v>265.56319999999999</v>
      </c>
    </row>
    <row r="116" spans="2:14" ht="16.5" x14ac:dyDescent="0.3">
      <c r="B116" s="307"/>
      <c r="C116" s="636"/>
      <c r="D116" s="314"/>
      <c r="E116" s="618"/>
      <c r="F116" s="323"/>
      <c r="G116" s="138">
        <v>2</v>
      </c>
      <c r="H116" s="618"/>
      <c r="I116" s="615"/>
      <c r="J116" s="320"/>
      <c r="K116" s="304"/>
      <c r="L116" s="413"/>
      <c r="M116" s="460"/>
      <c r="N116" s="460"/>
    </row>
    <row r="117" spans="2:14" ht="16.5" x14ac:dyDescent="0.3">
      <c r="B117" s="307"/>
      <c r="C117" s="636"/>
      <c r="D117" s="314"/>
      <c r="E117" s="618"/>
      <c r="F117" s="323"/>
      <c r="G117" s="138">
        <v>3</v>
      </c>
      <c r="H117" s="618"/>
      <c r="I117" s="615"/>
      <c r="J117" s="320"/>
      <c r="K117" s="304"/>
      <c r="L117" s="413"/>
      <c r="M117" s="460"/>
      <c r="N117" s="460"/>
    </row>
    <row r="118" spans="2:14" ht="16.5" x14ac:dyDescent="0.3">
      <c r="B118" s="307"/>
      <c r="C118" s="636"/>
      <c r="D118" s="314"/>
      <c r="E118" s="618"/>
      <c r="F118" s="323"/>
      <c r="G118" s="138">
        <v>4</v>
      </c>
      <c r="H118" s="618"/>
      <c r="I118" s="615"/>
      <c r="J118" s="320"/>
      <c r="K118" s="304"/>
      <c r="L118" s="413"/>
      <c r="M118" s="460"/>
      <c r="N118" s="460"/>
    </row>
    <row r="119" spans="2:14" ht="16.5" x14ac:dyDescent="0.3">
      <c r="B119" s="307"/>
      <c r="C119" s="636"/>
      <c r="D119" s="314"/>
      <c r="E119" s="618"/>
      <c r="F119" s="323"/>
      <c r="G119" s="138">
        <v>5</v>
      </c>
      <c r="H119" s="618"/>
      <c r="I119" s="615"/>
      <c r="J119" s="320"/>
      <c r="K119" s="304"/>
      <c r="L119" s="413"/>
      <c r="M119" s="460"/>
      <c r="N119" s="460"/>
    </row>
    <row r="120" spans="2:14" ht="16.5" x14ac:dyDescent="0.3">
      <c r="B120" s="307"/>
      <c r="C120" s="636"/>
      <c r="D120" s="314"/>
      <c r="E120" s="618"/>
      <c r="F120" s="323"/>
      <c r="G120" s="138">
        <v>6</v>
      </c>
      <c r="H120" s="618"/>
      <c r="I120" s="615"/>
      <c r="J120" s="320"/>
      <c r="K120" s="304"/>
      <c r="L120" s="413"/>
      <c r="M120" s="460"/>
      <c r="N120" s="460"/>
    </row>
    <row r="121" spans="2:14" ht="9" customHeight="1" thickBot="1" x14ac:dyDescent="0.35">
      <c r="B121" s="307"/>
      <c r="C121" s="636"/>
      <c r="D121" s="314"/>
      <c r="E121" s="618"/>
      <c r="F121" s="323"/>
      <c r="G121" s="138">
        <v>7</v>
      </c>
      <c r="H121" s="618"/>
      <c r="I121" s="615"/>
      <c r="J121" s="320"/>
      <c r="K121" s="304"/>
      <c r="L121" s="413"/>
      <c r="M121" s="460"/>
      <c r="N121" s="460"/>
    </row>
    <row r="122" spans="2:14" ht="17.25" hidden="1" thickBot="1" x14ac:dyDescent="0.35">
      <c r="B122" s="308"/>
      <c r="C122" s="636"/>
      <c r="D122" s="315"/>
      <c r="E122" s="619"/>
      <c r="F122" s="324"/>
      <c r="G122" s="140">
        <v>8</v>
      </c>
      <c r="H122" s="619"/>
      <c r="I122" s="616"/>
      <c r="J122" s="321"/>
      <c r="K122" s="305"/>
      <c r="L122" s="413"/>
      <c r="M122" s="460"/>
      <c r="N122" s="460"/>
    </row>
    <row r="123" spans="2:14" ht="16.5" x14ac:dyDescent="0.3">
      <c r="B123" s="306" t="str">
        <f>+LEFT(C123,4)</f>
        <v>15.5</v>
      </c>
      <c r="C123" s="636" t="s">
        <v>260</v>
      </c>
      <c r="D123" s="313" t="s">
        <v>261</v>
      </c>
      <c r="E123" s="617" t="s">
        <v>664</v>
      </c>
      <c r="F123" s="322">
        <v>1</v>
      </c>
      <c r="G123" s="141">
        <v>1</v>
      </c>
      <c r="H123" s="617" t="s">
        <v>665</v>
      </c>
      <c r="I123" s="617" t="s">
        <v>454</v>
      </c>
      <c r="J123" s="319">
        <v>1</v>
      </c>
      <c r="K123" s="394" t="str">
        <f t="shared" si="10"/>
        <v>Deficiencia de control mayor (diseño y ejecución)</v>
      </c>
      <c r="L123" s="413">
        <f t="shared" ref="L123" si="15">+IF(K123="",231,IF(K123="Deficiencia de control mayor (diseño y ejecución)",240,IF(K123="Deficiencia de control (diseño o ejecución)",260,IF(K123="Oportunidad de mejora",280,300))))</f>
        <v>240</v>
      </c>
      <c r="M123" s="460">
        <v>5.6321000000000003</v>
      </c>
      <c r="N123" s="460">
        <f>+L123+M123</f>
        <v>245.63210000000001</v>
      </c>
    </row>
    <row r="124" spans="2:14" ht="16.5" x14ac:dyDescent="0.3">
      <c r="B124" s="307"/>
      <c r="C124" s="636"/>
      <c r="D124" s="314"/>
      <c r="E124" s="618"/>
      <c r="F124" s="323"/>
      <c r="G124" s="138">
        <v>2</v>
      </c>
      <c r="H124" s="618"/>
      <c r="I124" s="618"/>
      <c r="J124" s="320"/>
      <c r="K124" s="304"/>
      <c r="L124" s="413"/>
      <c r="M124" s="460"/>
      <c r="N124" s="460"/>
    </row>
    <row r="125" spans="2:14" ht="16.5" x14ac:dyDescent="0.3">
      <c r="B125" s="307"/>
      <c r="C125" s="636"/>
      <c r="D125" s="314"/>
      <c r="E125" s="618"/>
      <c r="F125" s="323"/>
      <c r="G125" s="138">
        <v>3</v>
      </c>
      <c r="H125" s="618"/>
      <c r="I125" s="618"/>
      <c r="J125" s="320"/>
      <c r="K125" s="304"/>
      <c r="L125" s="413"/>
      <c r="M125" s="460"/>
      <c r="N125" s="460"/>
    </row>
    <row r="126" spans="2:14" ht="16.5" x14ac:dyDescent="0.3">
      <c r="B126" s="307"/>
      <c r="C126" s="636"/>
      <c r="D126" s="314"/>
      <c r="E126" s="618"/>
      <c r="F126" s="323"/>
      <c r="G126" s="138">
        <v>4</v>
      </c>
      <c r="H126" s="618"/>
      <c r="I126" s="618"/>
      <c r="J126" s="320"/>
      <c r="K126" s="304"/>
      <c r="L126" s="413"/>
      <c r="M126" s="460"/>
      <c r="N126" s="460"/>
    </row>
    <row r="127" spans="2:14" ht="16.5" x14ac:dyDescent="0.3">
      <c r="B127" s="307"/>
      <c r="C127" s="636"/>
      <c r="D127" s="314"/>
      <c r="E127" s="618"/>
      <c r="F127" s="323"/>
      <c r="G127" s="138">
        <v>5</v>
      </c>
      <c r="H127" s="618"/>
      <c r="I127" s="618"/>
      <c r="J127" s="320"/>
      <c r="K127" s="304"/>
      <c r="L127" s="413"/>
      <c r="M127" s="460"/>
      <c r="N127" s="460"/>
    </row>
    <row r="128" spans="2:14" ht="3.75" customHeight="1" thickBot="1" x14ac:dyDescent="0.35">
      <c r="B128" s="307"/>
      <c r="C128" s="636"/>
      <c r="D128" s="314"/>
      <c r="E128" s="618"/>
      <c r="F128" s="323"/>
      <c r="G128" s="138">
        <v>6</v>
      </c>
      <c r="H128" s="618"/>
      <c r="I128" s="618"/>
      <c r="J128" s="320"/>
      <c r="K128" s="304"/>
      <c r="L128" s="413"/>
      <c r="M128" s="460"/>
      <c r="N128" s="460"/>
    </row>
    <row r="129" spans="2:14" ht="12.75" hidden="1" customHeight="1" thickBot="1" x14ac:dyDescent="0.35">
      <c r="B129" s="307"/>
      <c r="C129" s="636"/>
      <c r="D129" s="314"/>
      <c r="E129" s="618"/>
      <c r="F129" s="323"/>
      <c r="G129" s="138">
        <v>7</v>
      </c>
      <c r="H129" s="618"/>
      <c r="I129" s="618"/>
      <c r="J129" s="320"/>
      <c r="K129" s="304"/>
      <c r="L129" s="413"/>
      <c r="M129" s="460"/>
      <c r="N129" s="460"/>
    </row>
    <row r="130" spans="2:14" ht="12.75" hidden="1" customHeight="1" thickBot="1" x14ac:dyDescent="0.35">
      <c r="B130" s="308"/>
      <c r="C130" s="636"/>
      <c r="D130" s="315"/>
      <c r="E130" s="619"/>
      <c r="F130" s="324"/>
      <c r="G130" s="140">
        <v>8</v>
      </c>
      <c r="H130" s="619"/>
      <c r="I130" s="619"/>
      <c r="J130" s="321"/>
      <c r="K130" s="305"/>
      <c r="L130" s="413"/>
      <c r="M130" s="460"/>
      <c r="N130" s="460"/>
    </row>
    <row r="131" spans="2:14" ht="16.5" customHeight="1" x14ac:dyDescent="0.3">
      <c r="B131" s="306" t="str">
        <f>+LEFT(C131,4)</f>
        <v>15.6</v>
      </c>
      <c r="C131" s="636" t="s">
        <v>262</v>
      </c>
      <c r="D131" s="633" t="s">
        <v>261</v>
      </c>
      <c r="E131" s="649" t="s">
        <v>666</v>
      </c>
      <c r="F131" s="322">
        <v>1</v>
      </c>
      <c r="G131" s="141">
        <v>1</v>
      </c>
      <c r="H131" s="141"/>
      <c r="I131" s="617" t="s">
        <v>454</v>
      </c>
      <c r="J131" s="319">
        <v>1</v>
      </c>
      <c r="K131" s="394" t="str">
        <f t="shared" si="10"/>
        <v>Deficiencia de control mayor (diseño y ejecución)</v>
      </c>
      <c r="L131" s="413">
        <f t="shared" ref="L131" si="16">+IF(K131="",231,IF(K131="Deficiencia de control mayor (diseño y ejecución)",240,IF(K131="Deficiencia de control (diseño o ejecución)",260,IF(K131="Oportunidad de mejora",280,300))))</f>
        <v>240</v>
      </c>
      <c r="M131" s="460">
        <v>5.7896000000000001</v>
      </c>
      <c r="N131" s="460">
        <f>+L131+M131</f>
        <v>245.78960000000001</v>
      </c>
    </row>
    <row r="132" spans="2:14" ht="16.5" x14ac:dyDescent="0.3">
      <c r="B132" s="307"/>
      <c r="C132" s="636"/>
      <c r="D132" s="634"/>
      <c r="E132" s="650"/>
      <c r="F132" s="323"/>
      <c r="G132" s="138">
        <v>2</v>
      </c>
      <c r="H132" s="138"/>
      <c r="I132" s="618"/>
      <c r="J132" s="320"/>
      <c r="K132" s="304"/>
      <c r="L132" s="413"/>
      <c r="M132" s="460"/>
      <c r="N132" s="460"/>
    </row>
    <row r="133" spans="2:14" ht="16.5" x14ac:dyDescent="0.3">
      <c r="B133" s="307"/>
      <c r="C133" s="636"/>
      <c r="D133" s="634"/>
      <c r="E133" s="650"/>
      <c r="F133" s="323"/>
      <c r="G133" s="138">
        <v>3</v>
      </c>
      <c r="H133" s="138"/>
      <c r="I133" s="618"/>
      <c r="J133" s="320"/>
      <c r="K133" s="304"/>
      <c r="L133" s="413"/>
      <c r="M133" s="460"/>
      <c r="N133" s="460"/>
    </row>
    <row r="134" spans="2:14" ht="16.5" x14ac:dyDescent="0.3">
      <c r="B134" s="307"/>
      <c r="C134" s="636"/>
      <c r="D134" s="634"/>
      <c r="E134" s="650"/>
      <c r="F134" s="323"/>
      <c r="G134" s="138">
        <v>4</v>
      </c>
      <c r="H134" s="138"/>
      <c r="I134" s="618"/>
      <c r="J134" s="320"/>
      <c r="K134" s="304"/>
      <c r="L134" s="413"/>
      <c r="M134" s="460"/>
      <c r="N134" s="460"/>
    </row>
    <row r="135" spans="2:14" ht="16.5" x14ac:dyDescent="0.3">
      <c r="B135" s="307"/>
      <c r="C135" s="636"/>
      <c r="D135" s="634"/>
      <c r="E135" s="650"/>
      <c r="F135" s="323"/>
      <c r="G135" s="138">
        <v>5</v>
      </c>
      <c r="H135" s="138"/>
      <c r="I135" s="618"/>
      <c r="J135" s="320"/>
      <c r="K135" s="304"/>
      <c r="L135" s="413"/>
      <c r="M135" s="460"/>
      <c r="N135" s="460"/>
    </row>
    <row r="136" spans="2:14" ht="14.25" customHeight="1" x14ac:dyDescent="0.3">
      <c r="B136" s="307"/>
      <c r="C136" s="636"/>
      <c r="D136" s="634"/>
      <c r="E136" s="650"/>
      <c r="F136" s="323"/>
      <c r="G136" s="138">
        <v>6</v>
      </c>
      <c r="H136" s="138"/>
      <c r="I136" s="618"/>
      <c r="J136" s="320"/>
      <c r="K136" s="304"/>
      <c r="L136" s="413"/>
      <c r="M136" s="460"/>
      <c r="N136" s="460"/>
    </row>
    <row r="137" spans="2:14" ht="16.5" hidden="1" x14ac:dyDescent="0.3">
      <c r="B137" s="307"/>
      <c r="C137" s="636"/>
      <c r="D137" s="634"/>
      <c r="E137" s="650"/>
      <c r="F137" s="323"/>
      <c r="G137" s="138">
        <v>7</v>
      </c>
      <c r="H137" s="138"/>
      <c r="I137" s="618"/>
      <c r="J137" s="320"/>
      <c r="K137" s="304"/>
      <c r="L137" s="413"/>
      <c r="M137" s="460"/>
      <c r="N137" s="460"/>
    </row>
    <row r="138" spans="2:14" ht="17.25" hidden="1" thickBot="1" x14ac:dyDescent="0.35">
      <c r="B138" s="308"/>
      <c r="C138" s="636"/>
      <c r="D138" s="635"/>
      <c r="E138" s="651"/>
      <c r="F138" s="324"/>
      <c r="G138" s="140">
        <v>8</v>
      </c>
      <c r="H138" s="140"/>
      <c r="I138" s="619"/>
      <c r="J138" s="321"/>
      <c r="K138" s="305"/>
      <c r="L138" s="413"/>
      <c r="M138" s="460"/>
      <c r="N138" s="460"/>
    </row>
  </sheetData>
  <sheetProtection password="D72A" sheet="1" objects="1" scenarios="1" formatCells="0" formatColumns="0" formatRows="0"/>
  <autoFilter ref="C1:C138"/>
  <mergeCells count="209">
    <mergeCell ref="B91:B98"/>
    <mergeCell ref="B99:B106"/>
    <mergeCell ref="B107:B114"/>
    <mergeCell ref="B115:B122"/>
    <mergeCell ref="B123:B130"/>
    <mergeCell ref="B131:B138"/>
    <mergeCell ref="B15:B18"/>
    <mergeCell ref="B19:B26"/>
    <mergeCell ref="B27:B34"/>
    <mergeCell ref="B35:B42"/>
    <mergeCell ref="B43:B50"/>
    <mergeCell ref="B51:B54"/>
    <mergeCell ref="B55:B62"/>
    <mergeCell ref="B63:B70"/>
    <mergeCell ref="B71:B78"/>
    <mergeCell ref="K107:K114"/>
    <mergeCell ref="K115:K122"/>
    <mergeCell ref="K123:K130"/>
    <mergeCell ref="K131:K138"/>
    <mergeCell ref="K71:K78"/>
    <mergeCell ref="K79:K86"/>
    <mergeCell ref="K87:K90"/>
    <mergeCell ref="K91:K98"/>
    <mergeCell ref="K99:K106"/>
    <mergeCell ref="K35:K42"/>
    <mergeCell ref="K43:K50"/>
    <mergeCell ref="K51:K54"/>
    <mergeCell ref="K55:K62"/>
    <mergeCell ref="K63:K70"/>
    <mergeCell ref="K15:K18"/>
    <mergeCell ref="C12:K12"/>
    <mergeCell ref="C13:K13"/>
    <mergeCell ref="K19:K26"/>
    <mergeCell ref="K27:K34"/>
    <mergeCell ref="C27:C34"/>
    <mergeCell ref="E27:E34"/>
    <mergeCell ref="G17:G18"/>
    <mergeCell ref="C15:C18"/>
    <mergeCell ref="C19:C26"/>
    <mergeCell ref="E19:E26"/>
    <mergeCell ref="C35:C42"/>
    <mergeCell ref="D35:D42"/>
    <mergeCell ref="E35:E42"/>
    <mergeCell ref="F35:F42"/>
    <mergeCell ref="J35:J42"/>
    <mergeCell ref="H17:H18"/>
    <mergeCell ref="H53:H54"/>
    <mergeCell ref="H19:H26"/>
    <mergeCell ref="F123:F130"/>
    <mergeCell ref="F115:F122"/>
    <mergeCell ref="D91:D98"/>
    <mergeCell ref="D99:D106"/>
    <mergeCell ref="E123:E130"/>
    <mergeCell ref="F107:F114"/>
    <mergeCell ref="F51:F54"/>
    <mergeCell ref="C43:C50"/>
    <mergeCell ref="E43:E50"/>
    <mergeCell ref="C115:C122"/>
    <mergeCell ref="E115:E122"/>
    <mergeCell ref="C107:C114"/>
    <mergeCell ref="C123:C130"/>
    <mergeCell ref="E107:E114"/>
    <mergeCell ref="D107:D114"/>
    <mergeCell ref="D115:D122"/>
    <mergeCell ref="D123:D130"/>
    <mergeCell ref="J131:J138"/>
    <mergeCell ref="I17:I18"/>
    <mergeCell ref="I53:I54"/>
    <mergeCell ref="I89:I90"/>
    <mergeCell ref="J15:J18"/>
    <mergeCell ref="J19:J26"/>
    <mergeCell ref="J27:J34"/>
    <mergeCell ref="J43:J50"/>
    <mergeCell ref="J51:J54"/>
    <mergeCell ref="J55:J62"/>
    <mergeCell ref="J63:J70"/>
    <mergeCell ref="J79:J86"/>
    <mergeCell ref="J87:J90"/>
    <mergeCell ref="J91:J98"/>
    <mergeCell ref="J99:J106"/>
    <mergeCell ref="J107:J114"/>
    <mergeCell ref="J115:J122"/>
    <mergeCell ref="J123:J130"/>
    <mergeCell ref="G51:I52"/>
    <mergeCell ref="G15:I16"/>
    <mergeCell ref="G87:I88"/>
    <mergeCell ref="G53:G54"/>
    <mergeCell ref="G89:G90"/>
    <mergeCell ref="J71:J78"/>
    <mergeCell ref="D131:D138"/>
    <mergeCell ref="C91:C98"/>
    <mergeCell ref="E91:E98"/>
    <mergeCell ref="F15:F18"/>
    <mergeCell ref="F19:F26"/>
    <mergeCell ref="F27:F34"/>
    <mergeCell ref="D19:D26"/>
    <mergeCell ref="D27:D34"/>
    <mergeCell ref="D15:D18"/>
    <mergeCell ref="C71:C78"/>
    <mergeCell ref="D71:D78"/>
    <mergeCell ref="E71:E78"/>
    <mergeCell ref="F71:F78"/>
    <mergeCell ref="E55:E62"/>
    <mergeCell ref="C63:C70"/>
    <mergeCell ref="C55:C62"/>
    <mergeCell ref="E15:E18"/>
    <mergeCell ref="C99:C106"/>
    <mergeCell ref="E99:E106"/>
    <mergeCell ref="C131:C138"/>
    <mergeCell ref="F131:F138"/>
    <mergeCell ref="F91:F98"/>
    <mergeCell ref="F99:F106"/>
    <mergeCell ref="E131:E138"/>
    <mergeCell ref="A43:A44"/>
    <mergeCell ref="C87:C90"/>
    <mergeCell ref="E63:E70"/>
    <mergeCell ref="E79:E86"/>
    <mergeCell ref="F63:F70"/>
    <mergeCell ref="F79:F86"/>
    <mergeCell ref="F43:F50"/>
    <mergeCell ref="D43:D50"/>
    <mergeCell ref="D63:D70"/>
    <mergeCell ref="D79:D86"/>
    <mergeCell ref="C79:C86"/>
    <mergeCell ref="F55:F62"/>
    <mergeCell ref="D51:D54"/>
    <mergeCell ref="D87:D90"/>
    <mergeCell ref="C51:C54"/>
    <mergeCell ref="D55:D62"/>
    <mergeCell ref="E51:E54"/>
    <mergeCell ref="E87:E90"/>
    <mergeCell ref="F87:F90"/>
    <mergeCell ref="B79:B86"/>
    <mergeCell ref="B87:B90"/>
    <mergeCell ref="L15:L18"/>
    <mergeCell ref="L19:L26"/>
    <mergeCell ref="L27:L34"/>
    <mergeCell ref="L35:L42"/>
    <mergeCell ref="L43:L50"/>
    <mergeCell ref="L51:L54"/>
    <mergeCell ref="L55:L62"/>
    <mergeCell ref="L63:L70"/>
    <mergeCell ref="L71:L78"/>
    <mergeCell ref="L79:L86"/>
    <mergeCell ref="L87:L90"/>
    <mergeCell ref="L91:L98"/>
    <mergeCell ref="L99:L106"/>
    <mergeCell ref="L107:L114"/>
    <mergeCell ref="L115:L122"/>
    <mergeCell ref="L123:L130"/>
    <mergeCell ref="L131:L138"/>
    <mergeCell ref="M15:M18"/>
    <mergeCell ref="M19:M26"/>
    <mergeCell ref="M27:M34"/>
    <mergeCell ref="M35:M42"/>
    <mergeCell ref="M43:M50"/>
    <mergeCell ref="M51:M54"/>
    <mergeCell ref="M55:M62"/>
    <mergeCell ref="M63:M70"/>
    <mergeCell ref="M71:M78"/>
    <mergeCell ref="M79:M86"/>
    <mergeCell ref="M87:M90"/>
    <mergeCell ref="M91:M98"/>
    <mergeCell ref="M99:M106"/>
    <mergeCell ref="M107:M114"/>
    <mergeCell ref="M115:M122"/>
    <mergeCell ref="M123:M130"/>
    <mergeCell ref="M131:M138"/>
    <mergeCell ref="N15:N18"/>
    <mergeCell ref="N19:N26"/>
    <mergeCell ref="N27:N34"/>
    <mergeCell ref="N35:N42"/>
    <mergeCell ref="N43:N50"/>
    <mergeCell ref="N51:N54"/>
    <mergeCell ref="N55:N62"/>
    <mergeCell ref="N63:N70"/>
    <mergeCell ref="N71:N78"/>
    <mergeCell ref="N79:N86"/>
    <mergeCell ref="N87:N90"/>
    <mergeCell ref="N91:N98"/>
    <mergeCell ref="N99:N106"/>
    <mergeCell ref="N107:N114"/>
    <mergeCell ref="N115:N122"/>
    <mergeCell ref="N123:N130"/>
    <mergeCell ref="N131:N138"/>
    <mergeCell ref="I91:I98"/>
    <mergeCell ref="I99:I106"/>
    <mergeCell ref="I107:I114"/>
    <mergeCell ref="I115:I122"/>
    <mergeCell ref="I123:I130"/>
    <mergeCell ref="I131:I138"/>
    <mergeCell ref="H89:H90"/>
    <mergeCell ref="I19:I26"/>
    <mergeCell ref="I27:I34"/>
    <mergeCell ref="I35:I42"/>
    <mergeCell ref="I43:I50"/>
    <mergeCell ref="I55:I62"/>
    <mergeCell ref="I63:I70"/>
    <mergeCell ref="I71:I78"/>
    <mergeCell ref="I79:I86"/>
    <mergeCell ref="H55:H62"/>
    <mergeCell ref="H63:H70"/>
    <mergeCell ref="H71:H78"/>
    <mergeCell ref="H79:H86"/>
    <mergeCell ref="H91:H98"/>
    <mergeCell ref="H99:H106"/>
    <mergeCell ref="H107:H114"/>
    <mergeCell ref="H115:H122"/>
    <mergeCell ref="H123:H130"/>
  </mergeCells>
  <dataValidations count="1">
    <dataValidation type="list" allowBlank="1" showInputMessage="1" showErrorMessage="1" sqref="J91:J138 J55:J86 F19:F50 J19:J50 F91:F138 F55:F86">
      <formula1>"1,2,3"</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62F13"/>
  </sheetPr>
  <dimension ref="B1:N134"/>
  <sheetViews>
    <sheetView showGridLines="0" topLeftCell="A100" zoomScaleNormal="100" workbookViewId="0">
      <selection activeCell="C111" sqref="C111:C118"/>
    </sheetView>
  </sheetViews>
  <sheetFormatPr baseColWidth="10" defaultColWidth="3.140625" defaultRowHeight="22.5" customHeight="1" x14ac:dyDescent="0.3"/>
  <cols>
    <col min="1" max="1" width="2.5703125" style="15" customWidth="1"/>
    <col min="2" max="2" width="4.42578125" style="15" hidden="1" customWidth="1"/>
    <col min="3" max="3" width="42.5703125" style="15" customWidth="1"/>
    <col min="4" max="4" width="32.7109375" style="15" customWidth="1"/>
    <col min="5" max="5" width="42.42578125" style="15" customWidth="1"/>
    <col min="6" max="6" width="7.42578125" style="15" customWidth="1"/>
    <col min="7" max="7" width="3.5703125" style="15" bestFit="1" customWidth="1"/>
    <col min="8" max="8" width="29.28515625" style="15" customWidth="1"/>
    <col min="9" max="9" width="36.28515625" style="15" customWidth="1"/>
    <col min="10" max="10" width="7.42578125" style="15" customWidth="1"/>
    <col min="11" max="11" width="22.5703125" style="15" customWidth="1"/>
    <col min="12" max="12" width="4" style="98" bestFit="1" customWidth="1"/>
    <col min="13" max="13" width="8.42578125" style="98" bestFit="1" customWidth="1"/>
    <col min="14" max="14" width="9.5703125" style="100" customWidth="1"/>
    <col min="15" max="16363" width="3.140625" style="15" customWidth="1"/>
    <col min="16364" max="16384" width="3.140625" style="15"/>
  </cols>
  <sheetData>
    <row r="1" spans="3:11" ht="9.9499999999999993" customHeight="1" x14ac:dyDescent="0.3"/>
    <row r="2" spans="3:11" ht="9.9499999999999993" customHeight="1" x14ac:dyDescent="0.3"/>
    <row r="3" spans="3:11" ht="9.9499999999999993" customHeight="1" x14ac:dyDescent="0.3"/>
    <row r="4" spans="3:11" ht="9.9499999999999993" customHeight="1" x14ac:dyDescent="0.3"/>
    <row r="5" spans="3:11" ht="9.9499999999999993" customHeight="1" x14ac:dyDescent="0.3"/>
    <row r="6" spans="3:11" ht="9.9499999999999993" customHeight="1" x14ac:dyDescent="0.3"/>
    <row r="7" spans="3:11" ht="9.9499999999999993" customHeight="1" x14ac:dyDescent="0.3"/>
    <row r="8" spans="3:11" ht="9.9499999999999993" customHeight="1" x14ac:dyDescent="0.3"/>
    <row r="9" spans="3:11" ht="9.9499999999999993" customHeight="1" x14ac:dyDescent="0.3"/>
    <row r="10" spans="3:11" ht="31.5" customHeight="1" x14ac:dyDescent="0.3"/>
    <row r="11" spans="3:11" ht="24.75" customHeight="1" x14ac:dyDescent="0.3"/>
    <row r="12" spans="3:11" ht="20.25" customHeight="1" x14ac:dyDescent="0.3"/>
    <row r="13" spans="3:11" ht="9.9499999999999993" customHeight="1" x14ac:dyDescent="0.3"/>
    <row r="14" spans="3:11" ht="20.100000000000001" customHeight="1" x14ac:dyDescent="0.3">
      <c r="C14" s="679" t="s">
        <v>263</v>
      </c>
      <c r="D14" s="679"/>
      <c r="E14" s="679"/>
      <c r="F14" s="679"/>
      <c r="G14" s="679"/>
      <c r="H14" s="679"/>
      <c r="I14" s="679"/>
      <c r="J14" s="679"/>
      <c r="K14" s="679"/>
    </row>
    <row r="15" spans="3:11" ht="33.6" customHeight="1" x14ac:dyDescent="0.3">
      <c r="C15" s="330" t="s">
        <v>264</v>
      </c>
      <c r="D15" s="330"/>
      <c r="E15" s="330"/>
      <c r="F15" s="330"/>
      <c r="G15" s="330"/>
      <c r="H15" s="330"/>
      <c r="I15" s="330"/>
      <c r="J15" s="330"/>
      <c r="K15" s="330"/>
    </row>
    <row r="16" spans="3:11" ht="9.9499999999999993" customHeight="1" x14ac:dyDescent="0.3">
      <c r="C16" s="16"/>
      <c r="D16" s="16"/>
      <c r="F16" s="17"/>
    </row>
    <row r="17" spans="2:14" ht="36.75" customHeight="1" x14ac:dyDescent="0.3">
      <c r="B17" s="688" t="s">
        <v>111</v>
      </c>
      <c r="C17" s="668" t="s">
        <v>265</v>
      </c>
      <c r="D17" s="678" t="s">
        <v>8</v>
      </c>
      <c r="E17" s="683" t="s">
        <v>113</v>
      </c>
      <c r="F17" s="682" t="s">
        <v>175</v>
      </c>
      <c r="G17" s="681" t="s">
        <v>115</v>
      </c>
      <c r="H17" s="681"/>
      <c r="I17" s="681"/>
      <c r="J17" s="682" t="s">
        <v>176</v>
      </c>
      <c r="K17" s="691" t="s">
        <v>135</v>
      </c>
      <c r="L17" s="465"/>
      <c r="M17" s="465"/>
      <c r="N17" s="663"/>
    </row>
    <row r="18" spans="2:14" ht="29.25" customHeight="1" x14ac:dyDescent="0.3">
      <c r="B18" s="688"/>
      <c r="C18" s="668"/>
      <c r="D18" s="678"/>
      <c r="E18" s="684"/>
      <c r="F18" s="682"/>
      <c r="G18" s="681" t="s">
        <v>13</v>
      </c>
      <c r="H18" s="678" t="s">
        <v>15</v>
      </c>
      <c r="I18" s="678" t="s">
        <v>15</v>
      </c>
      <c r="J18" s="682"/>
      <c r="K18" s="691"/>
      <c r="L18" s="465"/>
      <c r="M18" s="465"/>
      <c r="N18" s="663"/>
    </row>
    <row r="19" spans="2:14" ht="92.25" customHeight="1" thickBot="1" x14ac:dyDescent="0.35">
      <c r="B19" s="688"/>
      <c r="C19" s="668"/>
      <c r="D19" s="678"/>
      <c r="E19" s="685"/>
      <c r="F19" s="682"/>
      <c r="G19" s="681"/>
      <c r="H19" s="681"/>
      <c r="I19" s="681"/>
      <c r="J19" s="682"/>
      <c r="K19" s="692"/>
      <c r="L19" s="465"/>
      <c r="M19" s="465"/>
      <c r="N19" s="663"/>
    </row>
    <row r="20" spans="2:14" ht="120" customHeight="1" thickBot="1" x14ac:dyDescent="0.35">
      <c r="B20" s="306" t="str">
        <f>+LEFT(C20,4)</f>
        <v>16.1</v>
      </c>
      <c r="C20" s="680" t="s">
        <v>266</v>
      </c>
      <c r="D20" s="313" t="s">
        <v>267</v>
      </c>
      <c r="E20" s="433" t="s">
        <v>667</v>
      </c>
      <c r="F20" s="322">
        <v>3</v>
      </c>
      <c r="G20" s="141">
        <v>1</v>
      </c>
      <c r="H20" s="202" t="s">
        <v>467</v>
      </c>
      <c r="I20" s="456" t="s">
        <v>503</v>
      </c>
      <c r="J20" s="319">
        <v>3</v>
      </c>
      <c r="K20" s="394" t="str">
        <f t="shared" ref="K20" si="0">+IF(OR(ISBLANK(F20),ISBLANK(J20)),"",IF(OR(AND(F20=1,J20=1),AND(F20=1,J20=2),AND(F20=1,J20=3)),"Deficiencia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413">
        <f>+IF(K20="",312,IF(K20="Deficiencia de control mayor (diseño y ejecución)",320,IF(K20="Deficiencia de control (diseño o ejecución)",340,IF(K20="Oportunidad de mejora",360,380))))</f>
        <v>380</v>
      </c>
      <c r="M20" s="460">
        <v>5.8745000000000003</v>
      </c>
      <c r="N20" s="662">
        <f>+L20+M20</f>
        <v>385.87450000000001</v>
      </c>
    </row>
    <row r="21" spans="2:14" s="18" customFormat="1" ht="16.5" x14ac:dyDescent="0.3">
      <c r="B21" s="307"/>
      <c r="C21" s="377"/>
      <c r="D21" s="314"/>
      <c r="E21" s="425"/>
      <c r="F21" s="323"/>
      <c r="G21" s="138">
        <v>2</v>
      </c>
      <c r="H21" s="193"/>
      <c r="I21" s="686"/>
      <c r="J21" s="320"/>
      <c r="K21" s="304"/>
      <c r="L21" s="413"/>
      <c r="M21" s="460"/>
      <c r="N21" s="662"/>
    </row>
    <row r="22" spans="2:14" s="18" customFormat="1" ht="16.5" x14ac:dyDescent="0.3">
      <c r="B22" s="307"/>
      <c r="C22" s="377"/>
      <c r="D22" s="314"/>
      <c r="E22" s="425"/>
      <c r="F22" s="323"/>
      <c r="G22" s="138">
        <v>3</v>
      </c>
      <c r="H22" s="138"/>
      <c r="I22" s="686"/>
      <c r="J22" s="320"/>
      <c r="K22" s="304"/>
      <c r="L22" s="413"/>
      <c r="M22" s="460"/>
      <c r="N22" s="662"/>
    </row>
    <row r="23" spans="2:14" s="18" customFormat="1" ht="16.5" x14ac:dyDescent="0.3">
      <c r="B23" s="307"/>
      <c r="C23" s="377"/>
      <c r="D23" s="314"/>
      <c r="E23" s="425"/>
      <c r="F23" s="323"/>
      <c r="G23" s="138">
        <v>4</v>
      </c>
      <c r="H23" s="138"/>
      <c r="I23" s="686"/>
      <c r="J23" s="320"/>
      <c r="K23" s="304"/>
      <c r="L23" s="413"/>
      <c r="M23" s="460"/>
      <c r="N23" s="662"/>
    </row>
    <row r="24" spans="2:14" s="18" customFormat="1" ht="16.5" customHeight="1" thickBot="1" x14ac:dyDescent="0.35">
      <c r="B24" s="307"/>
      <c r="C24" s="377"/>
      <c r="D24" s="314"/>
      <c r="E24" s="425"/>
      <c r="F24" s="323"/>
      <c r="G24" s="138">
        <v>5</v>
      </c>
      <c r="H24" s="138"/>
      <c r="I24" s="686"/>
      <c r="J24" s="320"/>
      <c r="K24" s="304"/>
      <c r="L24" s="413"/>
      <c r="M24" s="460"/>
      <c r="N24" s="662"/>
    </row>
    <row r="25" spans="2:14" s="18" customFormat="1" ht="17.25" hidden="1" customHeight="1" thickBot="1" x14ac:dyDescent="0.35">
      <c r="B25" s="307"/>
      <c r="C25" s="377"/>
      <c r="D25" s="314"/>
      <c r="E25" s="425"/>
      <c r="F25" s="323"/>
      <c r="G25" s="138">
        <v>6</v>
      </c>
      <c r="H25" s="138"/>
      <c r="I25" s="686"/>
      <c r="J25" s="320"/>
      <c r="K25" s="304"/>
      <c r="L25" s="413"/>
      <c r="M25" s="460"/>
      <c r="N25" s="662"/>
    </row>
    <row r="26" spans="2:14" s="18" customFormat="1" ht="17.25" hidden="1" customHeight="1" thickBot="1" x14ac:dyDescent="0.35">
      <c r="B26" s="307"/>
      <c r="C26" s="377"/>
      <c r="D26" s="314"/>
      <c r="E26" s="425"/>
      <c r="F26" s="323"/>
      <c r="G26" s="138">
        <v>7</v>
      </c>
      <c r="H26" s="138"/>
      <c r="I26" s="686"/>
      <c r="J26" s="320"/>
      <c r="K26" s="304"/>
      <c r="L26" s="413"/>
      <c r="M26" s="460"/>
      <c r="N26" s="662"/>
    </row>
    <row r="27" spans="2:14" s="18" customFormat="1" ht="17.25" hidden="1" customHeight="1" thickBot="1" x14ac:dyDescent="0.35">
      <c r="B27" s="308"/>
      <c r="C27" s="378"/>
      <c r="D27" s="315"/>
      <c r="E27" s="426"/>
      <c r="F27" s="324"/>
      <c r="G27" s="140">
        <v>8</v>
      </c>
      <c r="H27" s="140"/>
      <c r="I27" s="687"/>
      <c r="J27" s="321"/>
      <c r="K27" s="305"/>
      <c r="L27" s="413"/>
      <c r="M27" s="460"/>
      <c r="N27" s="662"/>
    </row>
    <row r="28" spans="2:14" s="18" customFormat="1" ht="87" customHeight="1" x14ac:dyDescent="0.3">
      <c r="B28" s="306" t="str">
        <f>+LEFT(C28,4)</f>
        <v>16.2</v>
      </c>
      <c r="C28" s="376" t="s">
        <v>268</v>
      </c>
      <c r="D28" s="313" t="s">
        <v>267</v>
      </c>
      <c r="E28" s="433" t="s">
        <v>468</v>
      </c>
      <c r="F28" s="322">
        <v>2</v>
      </c>
      <c r="G28" s="141">
        <v>1</v>
      </c>
      <c r="H28" s="203" t="s">
        <v>504</v>
      </c>
      <c r="I28" s="285" t="s">
        <v>469</v>
      </c>
      <c r="J28" s="319">
        <v>2</v>
      </c>
      <c r="K28" s="394" t="str">
        <f t="shared" ref="K28:K52" si="1">+IF(OR(ISBLANK(F28),ISBLANK(J28)),"",IF(OR(AND(F28=1,J28=1),AND(F28=1,J28=2),AND(F28=1,J28=3)),"Deficiencia de control mayor (diseño y ejecución)",IF(OR(AND(F28=2,J28=2),AND(F28=3,J28=1),AND(F28=3,J28=2),AND(F28=2,J28=1)),"Deficiencia de control (diseño o ejecución)",IF(AND(F28=2,J28=3),"Oportunidad de mejora","Mantenimiento del control"))))</f>
        <v>Deficiencia de control (diseño o ejecución)</v>
      </c>
      <c r="L28" s="413">
        <f t="shared" ref="L28" si="2">+IF(K28="",312,IF(K28="Deficiencia de control mayor (diseño y ejecución)",320,IF(K28="Deficiencia de control (diseño o ejecución)",340,IF(K28="Oportunidad de mejora",360,380))))</f>
        <v>340</v>
      </c>
      <c r="M28" s="460">
        <v>5.9653999999999998</v>
      </c>
      <c r="N28" s="662">
        <f>+L28+M28</f>
        <v>345.96539999999999</v>
      </c>
    </row>
    <row r="29" spans="2:14" s="18" customFormat="1" ht="16.5" x14ac:dyDescent="0.3">
      <c r="B29" s="307"/>
      <c r="C29" s="377"/>
      <c r="D29" s="314"/>
      <c r="E29" s="498"/>
      <c r="F29" s="323"/>
      <c r="G29" s="138">
        <v>2</v>
      </c>
      <c r="H29" s="138"/>
      <c r="I29" s="443"/>
      <c r="J29" s="320"/>
      <c r="K29" s="304"/>
      <c r="L29" s="413"/>
      <c r="M29" s="460"/>
      <c r="N29" s="662"/>
    </row>
    <row r="30" spans="2:14" s="18" customFormat="1" ht="1.5" customHeight="1" x14ac:dyDescent="0.3">
      <c r="B30" s="307"/>
      <c r="C30" s="377"/>
      <c r="D30" s="314"/>
      <c r="E30" s="498"/>
      <c r="F30" s="323"/>
      <c r="G30" s="138">
        <v>3</v>
      </c>
      <c r="H30" s="138"/>
      <c r="I30" s="443"/>
      <c r="J30" s="320"/>
      <c r="K30" s="304"/>
      <c r="L30" s="413"/>
      <c r="M30" s="460"/>
      <c r="N30" s="662"/>
    </row>
    <row r="31" spans="2:14" s="18" customFormat="1" ht="16.5" x14ac:dyDescent="0.3">
      <c r="B31" s="307"/>
      <c r="C31" s="377"/>
      <c r="D31" s="314"/>
      <c r="E31" s="498"/>
      <c r="F31" s="323"/>
      <c r="G31" s="138">
        <v>4</v>
      </c>
      <c r="H31" s="138"/>
      <c r="I31" s="443"/>
      <c r="J31" s="320"/>
      <c r="K31" s="304"/>
      <c r="L31" s="413"/>
      <c r="M31" s="460"/>
      <c r="N31" s="662"/>
    </row>
    <row r="32" spans="2:14" s="18" customFormat="1" ht="16.5" x14ac:dyDescent="0.3">
      <c r="B32" s="307"/>
      <c r="C32" s="377"/>
      <c r="D32" s="314"/>
      <c r="E32" s="498"/>
      <c r="F32" s="323"/>
      <c r="G32" s="138">
        <v>5</v>
      </c>
      <c r="H32" s="138"/>
      <c r="I32" s="443"/>
      <c r="J32" s="320"/>
      <c r="K32" s="304"/>
      <c r="L32" s="413"/>
      <c r="M32" s="460"/>
      <c r="N32" s="662"/>
    </row>
    <row r="33" spans="2:14" s="18" customFormat="1" ht="16.5" x14ac:dyDescent="0.3">
      <c r="B33" s="307"/>
      <c r="C33" s="377"/>
      <c r="D33" s="314"/>
      <c r="E33" s="498"/>
      <c r="F33" s="323"/>
      <c r="G33" s="138">
        <v>6</v>
      </c>
      <c r="H33" s="138"/>
      <c r="I33" s="443"/>
      <c r="J33" s="320"/>
      <c r="K33" s="304"/>
      <c r="L33" s="413"/>
      <c r="M33" s="460"/>
      <c r="N33" s="662"/>
    </row>
    <row r="34" spans="2:14" s="18" customFormat="1" ht="4.5" customHeight="1" x14ac:dyDescent="0.3">
      <c r="B34" s="307"/>
      <c r="C34" s="377"/>
      <c r="D34" s="314"/>
      <c r="E34" s="498"/>
      <c r="F34" s="323"/>
      <c r="G34" s="138">
        <v>7</v>
      </c>
      <c r="H34" s="138"/>
      <c r="I34" s="443"/>
      <c r="J34" s="320"/>
      <c r="K34" s="304"/>
      <c r="L34" s="413"/>
      <c r="M34" s="460"/>
      <c r="N34" s="662"/>
    </row>
    <row r="35" spans="2:14" s="18" customFormat="1" ht="0.75" customHeight="1" thickBot="1" x14ac:dyDescent="0.35">
      <c r="B35" s="308"/>
      <c r="C35" s="378"/>
      <c r="D35" s="315"/>
      <c r="E35" s="499"/>
      <c r="F35" s="324"/>
      <c r="G35" s="140">
        <v>8</v>
      </c>
      <c r="H35" s="140"/>
      <c r="I35" s="457"/>
      <c r="J35" s="321"/>
      <c r="K35" s="305"/>
      <c r="L35" s="413"/>
      <c r="M35" s="460"/>
      <c r="N35" s="662"/>
    </row>
    <row r="36" spans="2:14" ht="73.5" customHeight="1" thickBot="1" x14ac:dyDescent="0.35">
      <c r="B36" s="306" t="str">
        <f>+LEFT(C36,4)</f>
        <v>16.3</v>
      </c>
      <c r="C36" s="376" t="s">
        <v>269</v>
      </c>
      <c r="D36" s="313" t="s">
        <v>270</v>
      </c>
      <c r="E36" s="433" t="s">
        <v>516</v>
      </c>
      <c r="F36" s="322">
        <v>3</v>
      </c>
      <c r="G36" s="141">
        <v>1</v>
      </c>
      <c r="H36" s="211" t="s">
        <v>505</v>
      </c>
      <c r="I36" s="199" t="s">
        <v>463</v>
      </c>
      <c r="J36" s="670">
        <v>3</v>
      </c>
      <c r="K36" s="507" t="str">
        <f t="shared" si="1"/>
        <v>Mantenimiento del control</v>
      </c>
      <c r="L36" s="413">
        <f t="shared" ref="L36" si="3">+IF(K36="",312,IF(K36="Deficiencia de control mayor (diseño y ejecución)",320,IF(K36="Deficiencia de control (diseño o ejecución)",340,IF(K36="Oportunidad de mejora",360,380))))</f>
        <v>380</v>
      </c>
      <c r="M36" s="460">
        <v>6.0122999999999998</v>
      </c>
      <c r="N36" s="662">
        <f>+L36+M36</f>
        <v>386.01229999999998</v>
      </c>
    </row>
    <row r="37" spans="2:14" ht="52.5" customHeight="1" thickBot="1" x14ac:dyDescent="0.35">
      <c r="B37" s="307"/>
      <c r="C37" s="377"/>
      <c r="D37" s="314"/>
      <c r="E37" s="425"/>
      <c r="F37" s="323"/>
      <c r="G37" s="138">
        <v>2</v>
      </c>
      <c r="H37" s="205" t="s">
        <v>506</v>
      </c>
      <c r="I37" s="201"/>
      <c r="J37" s="671"/>
      <c r="K37" s="508"/>
      <c r="L37" s="413"/>
      <c r="M37" s="460"/>
      <c r="N37" s="662"/>
    </row>
    <row r="38" spans="2:14" ht="14.25" customHeight="1" thickBot="1" x14ac:dyDescent="0.35">
      <c r="B38" s="307"/>
      <c r="C38" s="377"/>
      <c r="D38" s="314"/>
      <c r="E38" s="425"/>
      <c r="F38" s="323"/>
      <c r="G38" s="138">
        <v>3</v>
      </c>
      <c r="H38" s="206"/>
      <c r="I38" s="201"/>
      <c r="J38" s="671"/>
      <c r="K38" s="508"/>
      <c r="L38" s="413"/>
      <c r="M38" s="460"/>
      <c r="N38" s="662"/>
    </row>
    <row r="39" spans="2:14" ht="26.25" hidden="1" customHeight="1" thickBot="1" x14ac:dyDescent="0.35">
      <c r="B39" s="307"/>
      <c r="C39" s="377"/>
      <c r="D39" s="314"/>
      <c r="E39" s="425"/>
      <c r="F39" s="323"/>
      <c r="G39" s="138">
        <v>4</v>
      </c>
      <c r="H39" s="138"/>
      <c r="I39" s="201"/>
      <c r="J39" s="671"/>
      <c r="K39" s="508"/>
      <c r="L39" s="413"/>
      <c r="M39" s="460"/>
      <c r="N39" s="662"/>
    </row>
    <row r="40" spans="2:14" ht="0.75" customHeight="1" thickBot="1" x14ac:dyDescent="0.35">
      <c r="B40" s="307"/>
      <c r="C40" s="377"/>
      <c r="D40" s="314"/>
      <c r="E40" s="425"/>
      <c r="F40" s="323"/>
      <c r="G40" s="138">
        <v>5</v>
      </c>
      <c r="H40" s="138"/>
      <c r="I40" s="201"/>
      <c r="J40" s="671"/>
      <c r="K40" s="508"/>
      <c r="L40" s="413"/>
      <c r="M40" s="460"/>
      <c r="N40" s="662"/>
    </row>
    <row r="41" spans="2:14" ht="26.25" hidden="1" customHeight="1" thickBot="1" x14ac:dyDescent="0.35">
      <c r="B41" s="307"/>
      <c r="C41" s="377"/>
      <c r="D41" s="314"/>
      <c r="E41" s="425"/>
      <c r="F41" s="323"/>
      <c r="G41" s="138">
        <v>6</v>
      </c>
      <c r="H41" s="138"/>
      <c r="I41" s="201"/>
      <c r="J41" s="671"/>
      <c r="K41" s="508"/>
      <c r="L41" s="413"/>
      <c r="M41" s="460"/>
      <c r="N41" s="662"/>
    </row>
    <row r="42" spans="2:14" ht="26.25" hidden="1" customHeight="1" thickBot="1" x14ac:dyDescent="0.35">
      <c r="B42" s="307"/>
      <c r="C42" s="377"/>
      <c r="D42" s="314"/>
      <c r="E42" s="425"/>
      <c r="F42" s="323"/>
      <c r="G42" s="138">
        <v>7</v>
      </c>
      <c r="H42" s="138"/>
      <c r="I42" s="201"/>
      <c r="J42" s="671"/>
      <c r="K42" s="508"/>
      <c r="L42" s="413"/>
      <c r="M42" s="460"/>
      <c r="N42" s="662"/>
    </row>
    <row r="43" spans="2:14" ht="30.75" hidden="1" customHeight="1" thickBot="1" x14ac:dyDescent="0.35">
      <c r="B43" s="308"/>
      <c r="C43" s="378"/>
      <c r="D43" s="315"/>
      <c r="E43" s="426"/>
      <c r="F43" s="324"/>
      <c r="G43" s="140">
        <v>8</v>
      </c>
      <c r="H43" s="140"/>
      <c r="I43" s="201"/>
      <c r="J43" s="672"/>
      <c r="K43" s="509"/>
      <c r="L43" s="413"/>
      <c r="M43" s="460"/>
      <c r="N43" s="662"/>
    </row>
    <row r="44" spans="2:14" ht="75" customHeight="1" x14ac:dyDescent="0.3">
      <c r="B44" s="306" t="str">
        <f>+LEFT(C44,4)</f>
        <v>16.4</v>
      </c>
      <c r="C44" s="376" t="s">
        <v>271</v>
      </c>
      <c r="D44" s="313" t="s">
        <v>272</v>
      </c>
      <c r="E44" s="433" t="s">
        <v>470</v>
      </c>
      <c r="F44" s="322">
        <v>2</v>
      </c>
      <c r="G44" s="141">
        <v>1</v>
      </c>
      <c r="H44" s="433" t="s">
        <v>517</v>
      </c>
      <c r="I44" s="530" t="s">
        <v>668</v>
      </c>
      <c r="J44" s="319">
        <v>2</v>
      </c>
      <c r="K44" s="394" t="str">
        <f t="shared" si="1"/>
        <v>Deficiencia de control (diseño o ejecución)</v>
      </c>
      <c r="L44" s="413">
        <f t="shared" ref="L44" si="4">+IF(K44="",312,IF(K44="Deficiencia de control mayor (diseño y ejecución)",320,IF(K44="Deficiencia de control (diseño o ejecución)",340,IF(K44="Oportunidad de mejora",360,380))))</f>
        <v>340</v>
      </c>
      <c r="M44" s="460">
        <v>6.1235999999999997</v>
      </c>
      <c r="N44" s="662">
        <f>+L44+M44</f>
        <v>346.12360000000001</v>
      </c>
    </row>
    <row r="45" spans="2:14" ht="22.5" customHeight="1" x14ac:dyDescent="0.3">
      <c r="B45" s="307"/>
      <c r="C45" s="377"/>
      <c r="D45" s="314"/>
      <c r="E45" s="425"/>
      <c r="F45" s="323"/>
      <c r="G45" s="138">
        <v>2</v>
      </c>
      <c r="H45" s="425"/>
      <c r="I45" s="531"/>
      <c r="J45" s="320"/>
      <c r="K45" s="304"/>
      <c r="L45" s="413"/>
      <c r="M45" s="460"/>
      <c r="N45" s="662"/>
    </row>
    <row r="46" spans="2:14" ht="22.5" customHeight="1" x14ac:dyDescent="0.3">
      <c r="B46" s="307"/>
      <c r="C46" s="377"/>
      <c r="D46" s="314"/>
      <c r="E46" s="425"/>
      <c r="F46" s="323"/>
      <c r="G46" s="138">
        <v>3</v>
      </c>
      <c r="H46" s="425"/>
      <c r="I46" s="531"/>
      <c r="J46" s="320"/>
      <c r="K46" s="304"/>
      <c r="L46" s="413"/>
      <c r="M46" s="460"/>
      <c r="N46" s="662"/>
    </row>
    <row r="47" spans="2:14" ht="22.5" customHeight="1" x14ac:dyDescent="0.3">
      <c r="B47" s="307"/>
      <c r="C47" s="377"/>
      <c r="D47" s="314"/>
      <c r="E47" s="425"/>
      <c r="F47" s="323"/>
      <c r="G47" s="138">
        <v>4</v>
      </c>
      <c r="H47" s="425"/>
      <c r="I47" s="531"/>
      <c r="J47" s="320"/>
      <c r="K47" s="304"/>
      <c r="L47" s="413"/>
      <c r="M47" s="460"/>
      <c r="N47" s="662"/>
    </row>
    <row r="48" spans="2:14" ht="22.5" customHeight="1" x14ac:dyDescent="0.3">
      <c r="B48" s="307"/>
      <c r="C48" s="377"/>
      <c r="D48" s="314"/>
      <c r="E48" s="425"/>
      <c r="F48" s="323"/>
      <c r="G48" s="138">
        <v>5</v>
      </c>
      <c r="H48" s="425"/>
      <c r="I48" s="531"/>
      <c r="J48" s="320"/>
      <c r="K48" s="304"/>
      <c r="L48" s="413"/>
      <c r="M48" s="460"/>
      <c r="N48" s="662"/>
    </row>
    <row r="49" spans="2:14" ht="22.5" customHeight="1" x14ac:dyDescent="0.3">
      <c r="B49" s="307"/>
      <c r="C49" s="377"/>
      <c r="D49" s="314"/>
      <c r="E49" s="425"/>
      <c r="F49" s="323"/>
      <c r="G49" s="138">
        <v>6</v>
      </c>
      <c r="H49" s="425"/>
      <c r="I49" s="531"/>
      <c r="J49" s="320"/>
      <c r="K49" s="304"/>
      <c r="L49" s="413"/>
      <c r="M49" s="460"/>
      <c r="N49" s="662"/>
    </row>
    <row r="50" spans="2:14" ht="22.5" customHeight="1" x14ac:dyDescent="0.3">
      <c r="B50" s="307"/>
      <c r="C50" s="377"/>
      <c r="D50" s="314"/>
      <c r="E50" s="425"/>
      <c r="F50" s="323"/>
      <c r="G50" s="138">
        <v>7</v>
      </c>
      <c r="H50" s="425"/>
      <c r="I50" s="531"/>
      <c r="J50" s="320"/>
      <c r="K50" s="304"/>
      <c r="L50" s="413"/>
      <c r="M50" s="460"/>
      <c r="N50" s="662"/>
    </row>
    <row r="51" spans="2:14" ht="22.5" customHeight="1" thickBot="1" x14ac:dyDescent="0.35">
      <c r="B51" s="308"/>
      <c r="C51" s="378"/>
      <c r="D51" s="315"/>
      <c r="E51" s="426"/>
      <c r="F51" s="324"/>
      <c r="G51" s="140">
        <v>8</v>
      </c>
      <c r="H51" s="426"/>
      <c r="I51" s="532"/>
      <c r="J51" s="321"/>
      <c r="K51" s="305"/>
      <c r="L51" s="413"/>
      <c r="M51" s="460"/>
      <c r="N51" s="662"/>
    </row>
    <row r="52" spans="2:14" ht="126" customHeight="1" x14ac:dyDescent="0.3">
      <c r="B52" s="306" t="str">
        <f>+LEFT(C52,4)</f>
        <v>16.5</v>
      </c>
      <c r="C52" s="376" t="s">
        <v>273</v>
      </c>
      <c r="D52" s="313" t="s">
        <v>203</v>
      </c>
      <c r="E52" s="433" t="s">
        <v>507</v>
      </c>
      <c r="F52" s="322">
        <v>3</v>
      </c>
      <c r="G52" s="141">
        <v>1</v>
      </c>
      <c r="H52" s="210" t="s">
        <v>508</v>
      </c>
      <c r="I52" s="212" t="s">
        <v>527</v>
      </c>
      <c r="J52" s="319">
        <v>3</v>
      </c>
      <c r="K52" s="394" t="str">
        <f t="shared" si="1"/>
        <v>Mantenimiento del control</v>
      </c>
      <c r="L52" s="413">
        <f t="shared" ref="L52" si="5">+IF(K52="",312,IF(K52="Deficiencia de control mayor (diseño y ejecución)",320,IF(K52="Deficiencia de control (diseño o ejecución)",340,IF(K52="Oportunidad de mejora",360,380))))</f>
        <v>380</v>
      </c>
      <c r="M52" s="460">
        <v>6.2135999999999996</v>
      </c>
      <c r="N52" s="662">
        <f>+L52+M52</f>
        <v>386.21359999999999</v>
      </c>
    </row>
    <row r="53" spans="2:14" ht="16.5" x14ac:dyDescent="0.3">
      <c r="B53" s="307"/>
      <c r="C53" s="377"/>
      <c r="D53" s="314"/>
      <c r="E53" s="498"/>
      <c r="F53" s="323"/>
      <c r="G53" s="138">
        <v>2</v>
      </c>
      <c r="H53" s="204"/>
      <c r="I53" s="200"/>
      <c r="J53" s="320"/>
      <c r="K53" s="304"/>
      <c r="L53" s="413"/>
      <c r="M53" s="460"/>
      <c r="N53" s="662"/>
    </row>
    <row r="54" spans="2:14" ht="16.5" x14ac:dyDescent="0.3">
      <c r="B54" s="307"/>
      <c r="C54" s="377"/>
      <c r="D54" s="314"/>
      <c r="E54" s="498"/>
      <c r="F54" s="323"/>
      <c r="G54" s="138">
        <v>3</v>
      </c>
      <c r="H54" s="138"/>
      <c r="I54" s="200"/>
      <c r="J54" s="320"/>
      <c r="K54" s="304"/>
      <c r="L54" s="413"/>
      <c r="M54" s="460"/>
      <c r="N54" s="662"/>
    </row>
    <row r="55" spans="2:14" ht="16.5" hidden="1" customHeight="1" x14ac:dyDescent="0.3">
      <c r="B55" s="307"/>
      <c r="C55" s="377"/>
      <c r="D55" s="314"/>
      <c r="E55" s="498"/>
      <c r="F55" s="323"/>
      <c r="G55" s="138">
        <v>4</v>
      </c>
      <c r="H55" s="192"/>
      <c r="I55" s="200"/>
      <c r="J55" s="320"/>
      <c r="K55" s="304"/>
      <c r="L55" s="413"/>
      <c r="M55" s="460"/>
      <c r="N55" s="662"/>
    </row>
    <row r="56" spans="2:14" ht="16.5" hidden="1" customHeight="1" x14ac:dyDescent="0.3">
      <c r="B56" s="307"/>
      <c r="C56" s="377"/>
      <c r="D56" s="314"/>
      <c r="E56" s="498"/>
      <c r="F56" s="323"/>
      <c r="G56" s="138">
        <v>5</v>
      </c>
      <c r="H56" s="138"/>
      <c r="I56" s="200"/>
      <c r="J56" s="320"/>
      <c r="K56" s="304"/>
      <c r="L56" s="413"/>
      <c r="M56" s="460"/>
      <c r="N56" s="662"/>
    </row>
    <row r="57" spans="2:14" ht="16.5" hidden="1" customHeight="1" x14ac:dyDescent="0.3">
      <c r="B57" s="307"/>
      <c r="C57" s="377"/>
      <c r="D57" s="314"/>
      <c r="E57" s="498"/>
      <c r="F57" s="323"/>
      <c r="G57" s="138">
        <v>6</v>
      </c>
      <c r="H57" s="138"/>
      <c r="I57" s="200"/>
      <c r="J57" s="320"/>
      <c r="K57" s="304"/>
      <c r="L57" s="413"/>
      <c r="M57" s="460"/>
      <c r="N57" s="662"/>
    </row>
    <row r="58" spans="2:14" ht="16.5" hidden="1" customHeight="1" x14ac:dyDescent="0.3">
      <c r="B58" s="307"/>
      <c r="C58" s="377"/>
      <c r="D58" s="314"/>
      <c r="E58" s="498"/>
      <c r="F58" s="323"/>
      <c r="G58" s="138">
        <v>7</v>
      </c>
      <c r="H58" s="138"/>
      <c r="I58" s="200"/>
      <c r="J58" s="320"/>
      <c r="K58" s="304"/>
      <c r="L58" s="413"/>
      <c r="M58" s="460"/>
      <c r="N58" s="662"/>
    </row>
    <row r="59" spans="2:14" ht="24" hidden="1" customHeight="1" thickBot="1" x14ac:dyDescent="0.35">
      <c r="B59" s="308"/>
      <c r="C59" s="378"/>
      <c r="D59" s="315"/>
      <c r="E59" s="499"/>
      <c r="F59" s="324"/>
      <c r="G59" s="140">
        <v>8</v>
      </c>
      <c r="H59" s="140"/>
      <c r="I59" s="200"/>
      <c r="J59" s="321"/>
      <c r="K59" s="305"/>
      <c r="L59" s="413"/>
      <c r="M59" s="460"/>
      <c r="N59" s="662"/>
    </row>
    <row r="60" spans="2:14" ht="22.5" customHeight="1" x14ac:dyDescent="0.3">
      <c r="B60" s="668"/>
      <c r="C60" s="668" t="s">
        <v>274</v>
      </c>
      <c r="D60" s="678" t="s">
        <v>8</v>
      </c>
      <c r="E60" s="673" t="s">
        <v>113</v>
      </c>
      <c r="F60" s="669" t="s">
        <v>175</v>
      </c>
      <c r="G60" s="677" t="s">
        <v>115</v>
      </c>
      <c r="H60" s="677"/>
      <c r="I60" s="677"/>
      <c r="J60" s="669" t="s">
        <v>176</v>
      </c>
      <c r="K60" s="689" t="s">
        <v>135</v>
      </c>
      <c r="L60" s="464"/>
      <c r="M60" s="464"/>
      <c r="N60" s="664"/>
    </row>
    <row r="61" spans="2:14" ht="22.5" customHeight="1" x14ac:dyDescent="0.3">
      <c r="B61" s="668"/>
      <c r="C61" s="668"/>
      <c r="D61" s="678"/>
      <c r="E61" s="674"/>
      <c r="F61" s="669"/>
      <c r="G61" s="677" t="s">
        <v>13</v>
      </c>
      <c r="H61" s="676" t="s">
        <v>15</v>
      </c>
      <c r="I61" s="676" t="s">
        <v>15</v>
      </c>
      <c r="J61" s="669"/>
      <c r="K61" s="689"/>
      <c r="L61" s="464"/>
      <c r="M61" s="464"/>
      <c r="N61" s="664"/>
    </row>
    <row r="62" spans="2:14" ht="77.25" customHeight="1" thickBot="1" x14ac:dyDescent="0.35">
      <c r="B62" s="668"/>
      <c r="C62" s="668"/>
      <c r="D62" s="678"/>
      <c r="E62" s="675"/>
      <c r="F62" s="669"/>
      <c r="G62" s="677"/>
      <c r="H62" s="677"/>
      <c r="I62" s="677"/>
      <c r="J62" s="669"/>
      <c r="K62" s="690"/>
      <c r="L62" s="464"/>
      <c r="M62" s="464"/>
      <c r="N62" s="664"/>
    </row>
    <row r="63" spans="2:14" ht="16.5" customHeight="1" x14ac:dyDescent="0.3">
      <c r="B63" s="306" t="str">
        <f>+LEFT(C63,5)</f>
        <v xml:space="preserve">17.1 </v>
      </c>
      <c r="C63" s="376" t="s">
        <v>275</v>
      </c>
      <c r="D63" s="313" t="s">
        <v>203</v>
      </c>
      <c r="E63" s="433" t="s">
        <v>471</v>
      </c>
      <c r="F63" s="322">
        <v>3</v>
      </c>
      <c r="G63" s="141">
        <v>1</v>
      </c>
      <c r="H63" s="433" t="s">
        <v>518</v>
      </c>
      <c r="I63" s="433" t="s">
        <v>472</v>
      </c>
      <c r="J63" s="319">
        <v>2</v>
      </c>
      <c r="K63" s="394" t="str">
        <f t="shared" ref="K63:K119" si="6">+IF(OR(ISBLANK(F63),ISBLANK(J63)),"",IF(OR(AND(F63=1,J63=1),AND(F63=1,J63=2),AND(F63=1,J63=3)),"Deficiencia de control mayor (diseño y ejecución)",IF(OR(AND(F63=2,J63=2),AND(F63=3,J63=1),AND(F63=3,J63=2),AND(F63=2,J63=1)),"Deficiencia de control (diseño o ejecución)",IF(AND(F63=2,J63=3),"Oportunidad de mejora","Mantenimiento del control"))))</f>
        <v>Deficiencia de control (diseño o ejecución)</v>
      </c>
      <c r="L63" s="413">
        <f t="shared" ref="L63" si="7">+IF(K63="",312,IF(K63="Deficiencia de control mayor (diseño y ejecución)",320,IF(K63="Deficiencia de control (diseño o ejecución)",340,IF(K63="Oportunidad de mejora",360,380))))</f>
        <v>340</v>
      </c>
      <c r="M63" s="460">
        <v>6.3258000000000001</v>
      </c>
      <c r="N63" s="662">
        <f>+L63+M63</f>
        <v>346.32580000000002</v>
      </c>
    </row>
    <row r="64" spans="2:14" ht="16.5" x14ac:dyDescent="0.3">
      <c r="B64" s="307"/>
      <c r="C64" s="377"/>
      <c r="D64" s="314"/>
      <c r="E64" s="498"/>
      <c r="F64" s="323"/>
      <c r="G64" s="138">
        <v>2</v>
      </c>
      <c r="H64" s="498"/>
      <c r="I64" s="498"/>
      <c r="J64" s="320"/>
      <c r="K64" s="304"/>
      <c r="L64" s="413"/>
      <c r="M64" s="460"/>
      <c r="N64" s="662"/>
    </row>
    <row r="65" spans="2:14" ht="16.5" x14ac:dyDescent="0.3">
      <c r="B65" s="307"/>
      <c r="C65" s="377"/>
      <c r="D65" s="314"/>
      <c r="E65" s="498"/>
      <c r="F65" s="323"/>
      <c r="G65" s="138">
        <v>3</v>
      </c>
      <c r="H65" s="498"/>
      <c r="I65" s="498"/>
      <c r="J65" s="320"/>
      <c r="K65" s="304"/>
      <c r="L65" s="413"/>
      <c r="M65" s="460"/>
      <c r="N65" s="662"/>
    </row>
    <row r="66" spans="2:14" ht="16.5" x14ac:dyDescent="0.3">
      <c r="B66" s="307"/>
      <c r="C66" s="377"/>
      <c r="D66" s="314"/>
      <c r="E66" s="498"/>
      <c r="F66" s="323"/>
      <c r="G66" s="138">
        <v>4</v>
      </c>
      <c r="H66" s="498"/>
      <c r="I66" s="498"/>
      <c r="J66" s="320"/>
      <c r="K66" s="304"/>
      <c r="L66" s="413"/>
      <c r="M66" s="460"/>
      <c r="N66" s="662"/>
    </row>
    <row r="67" spans="2:14" ht="16.5" x14ac:dyDescent="0.3">
      <c r="B67" s="307"/>
      <c r="C67" s="377"/>
      <c r="D67" s="314"/>
      <c r="E67" s="498"/>
      <c r="F67" s="323"/>
      <c r="G67" s="138">
        <v>5</v>
      </c>
      <c r="H67" s="498"/>
      <c r="I67" s="498"/>
      <c r="J67" s="320"/>
      <c r="K67" s="304"/>
      <c r="L67" s="413"/>
      <c r="M67" s="460"/>
      <c r="N67" s="662"/>
    </row>
    <row r="68" spans="2:14" ht="16.5" x14ac:dyDescent="0.3">
      <c r="B68" s="307"/>
      <c r="C68" s="377"/>
      <c r="D68" s="314"/>
      <c r="E68" s="498"/>
      <c r="F68" s="323"/>
      <c r="G68" s="138">
        <v>6</v>
      </c>
      <c r="H68" s="498"/>
      <c r="I68" s="498"/>
      <c r="J68" s="320"/>
      <c r="K68" s="304"/>
      <c r="L68" s="413"/>
      <c r="M68" s="460"/>
      <c r="N68" s="662"/>
    </row>
    <row r="69" spans="2:14" ht="16.5" x14ac:dyDescent="0.3">
      <c r="B69" s="307"/>
      <c r="C69" s="377"/>
      <c r="D69" s="314"/>
      <c r="E69" s="498"/>
      <c r="F69" s="323"/>
      <c r="G69" s="138">
        <v>7</v>
      </c>
      <c r="H69" s="498"/>
      <c r="I69" s="498"/>
      <c r="J69" s="320"/>
      <c r="K69" s="304"/>
      <c r="L69" s="413"/>
      <c r="M69" s="460"/>
      <c r="N69" s="662"/>
    </row>
    <row r="70" spans="2:14" ht="12.75" customHeight="1" thickBot="1" x14ac:dyDescent="0.35">
      <c r="B70" s="308"/>
      <c r="C70" s="378"/>
      <c r="D70" s="315"/>
      <c r="E70" s="499"/>
      <c r="F70" s="324"/>
      <c r="G70" s="140">
        <v>8</v>
      </c>
      <c r="H70" s="499"/>
      <c r="I70" s="499"/>
      <c r="J70" s="321"/>
      <c r="K70" s="305"/>
      <c r="L70" s="413"/>
      <c r="M70" s="460"/>
      <c r="N70" s="662"/>
    </row>
    <row r="71" spans="2:14" ht="34.5" customHeight="1" x14ac:dyDescent="0.3">
      <c r="B71" s="306" t="str">
        <f>+LEFT(C71,5)</f>
        <v xml:space="preserve">17.2 </v>
      </c>
      <c r="C71" s="665" t="s">
        <v>276</v>
      </c>
      <c r="D71" s="313" t="s">
        <v>203</v>
      </c>
      <c r="E71" s="433" t="s">
        <v>519</v>
      </c>
      <c r="F71" s="322">
        <v>2</v>
      </c>
      <c r="G71" s="141">
        <v>1</v>
      </c>
      <c r="H71" s="433" t="s">
        <v>518</v>
      </c>
      <c r="I71" s="433" t="s">
        <v>473</v>
      </c>
      <c r="J71" s="319">
        <v>2</v>
      </c>
      <c r="K71" s="394" t="str">
        <f t="shared" si="6"/>
        <v>Deficiencia de control (diseño o ejecución)</v>
      </c>
      <c r="L71" s="413">
        <f t="shared" ref="L71" si="8">+IF(K71="",312,IF(K71="Deficiencia de control mayor (diseño y ejecución)",320,IF(K71="Deficiencia de control (diseño o ejecución)",340,IF(K71="Oportunidad de mejora",360,380))))</f>
        <v>340</v>
      </c>
      <c r="M71" s="460">
        <v>6.4569000000000001</v>
      </c>
      <c r="N71" s="662">
        <f>+L71+M71</f>
        <v>346.45690000000002</v>
      </c>
    </row>
    <row r="72" spans="2:14" ht="34.5" customHeight="1" x14ac:dyDescent="0.3">
      <c r="B72" s="307"/>
      <c r="C72" s="666"/>
      <c r="D72" s="314"/>
      <c r="E72" s="425"/>
      <c r="F72" s="323"/>
      <c r="G72" s="138">
        <v>2</v>
      </c>
      <c r="H72" s="498"/>
      <c r="I72" s="498"/>
      <c r="J72" s="320"/>
      <c r="K72" s="304"/>
      <c r="L72" s="413"/>
      <c r="M72" s="460"/>
      <c r="N72" s="662"/>
    </row>
    <row r="73" spans="2:14" ht="34.5" customHeight="1" x14ac:dyDescent="0.3">
      <c r="B73" s="307"/>
      <c r="C73" s="666"/>
      <c r="D73" s="314"/>
      <c r="E73" s="425"/>
      <c r="F73" s="323"/>
      <c r="G73" s="138">
        <v>3</v>
      </c>
      <c r="H73" s="498"/>
      <c r="I73" s="498"/>
      <c r="J73" s="320"/>
      <c r="K73" s="304"/>
      <c r="L73" s="413"/>
      <c r="M73" s="460"/>
      <c r="N73" s="662"/>
    </row>
    <row r="74" spans="2:14" ht="34.5" customHeight="1" x14ac:dyDescent="0.3">
      <c r="B74" s="307"/>
      <c r="C74" s="666"/>
      <c r="D74" s="314"/>
      <c r="E74" s="425"/>
      <c r="F74" s="323"/>
      <c r="G74" s="138">
        <v>4</v>
      </c>
      <c r="H74" s="498"/>
      <c r="I74" s="498"/>
      <c r="J74" s="320"/>
      <c r="K74" s="304"/>
      <c r="L74" s="413"/>
      <c r="M74" s="460"/>
      <c r="N74" s="662"/>
    </row>
    <row r="75" spans="2:14" ht="8.25" customHeight="1" thickBot="1" x14ac:dyDescent="0.35">
      <c r="B75" s="307"/>
      <c r="C75" s="666"/>
      <c r="D75" s="314"/>
      <c r="E75" s="425"/>
      <c r="F75" s="323"/>
      <c r="G75" s="138">
        <v>5</v>
      </c>
      <c r="H75" s="498"/>
      <c r="I75" s="498"/>
      <c r="J75" s="320"/>
      <c r="K75" s="304"/>
      <c r="L75" s="413"/>
      <c r="M75" s="460"/>
      <c r="N75" s="662"/>
    </row>
    <row r="76" spans="2:14" ht="34.5" hidden="1" customHeight="1" thickBot="1" x14ac:dyDescent="0.35">
      <c r="B76" s="307"/>
      <c r="C76" s="666"/>
      <c r="D76" s="314"/>
      <c r="E76" s="425"/>
      <c r="F76" s="323"/>
      <c r="G76" s="138">
        <v>6</v>
      </c>
      <c r="H76" s="498"/>
      <c r="I76" s="498"/>
      <c r="J76" s="320"/>
      <c r="K76" s="304"/>
      <c r="L76" s="413"/>
      <c r="M76" s="460"/>
      <c r="N76" s="662"/>
    </row>
    <row r="77" spans="2:14" ht="34.5" hidden="1" customHeight="1" thickBot="1" x14ac:dyDescent="0.35">
      <c r="B77" s="307"/>
      <c r="C77" s="666"/>
      <c r="D77" s="314"/>
      <c r="E77" s="425"/>
      <c r="F77" s="323"/>
      <c r="G77" s="138">
        <v>7</v>
      </c>
      <c r="H77" s="498"/>
      <c r="I77" s="498"/>
      <c r="J77" s="320"/>
      <c r="K77" s="304"/>
      <c r="L77" s="413"/>
      <c r="M77" s="460"/>
      <c r="N77" s="662"/>
    </row>
    <row r="78" spans="2:14" ht="26.25" hidden="1" customHeight="1" thickBot="1" x14ac:dyDescent="0.35">
      <c r="B78" s="308"/>
      <c r="C78" s="667"/>
      <c r="D78" s="315"/>
      <c r="E78" s="426"/>
      <c r="F78" s="324"/>
      <c r="G78" s="140">
        <v>8</v>
      </c>
      <c r="H78" s="499"/>
      <c r="I78" s="499"/>
      <c r="J78" s="321"/>
      <c r="K78" s="305"/>
      <c r="L78" s="413"/>
      <c r="M78" s="460"/>
      <c r="N78" s="662"/>
    </row>
    <row r="79" spans="2:14" ht="22.5" customHeight="1" x14ac:dyDescent="0.3">
      <c r="B79" s="306" t="str">
        <f>+LEFT(C79,5)</f>
        <v xml:space="preserve">17.3 </v>
      </c>
      <c r="C79" s="376" t="s">
        <v>277</v>
      </c>
      <c r="D79" s="494" t="s">
        <v>203</v>
      </c>
      <c r="E79" s="527" t="s">
        <v>474</v>
      </c>
      <c r="F79" s="322">
        <v>3</v>
      </c>
      <c r="G79" s="141">
        <v>1</v>
      </c>
      <c r="H79" s="433" t="s">
        <v>518</v>
      </c>
      <c r="I79" s="433" t="s">
        <v>475</v>
      </c>
      <c r="J79" s="319">
        <v>2</v>
      </c>
      <c r="K79" s="394" t="str">
        <f t="shared" si="6"/>
        <v>Deficiencia de control (diseño o ejecución)</v>
      </c>
      <c r="L79" s="413">
        <f t="shared" ref="L79" si="9">+IF(K79="",312,IF(K79="Deficiencia de control mayor (diseño y ejecución)",320,IF(K79="Deficiencia de control (diseño o ejecución)",340,IF(K79="Oportunidad de mejora",360,380))))</f>
        <v>340</v>
      </c>
      <c r="M79" s="460">
        <v>6.5632000000000001</v>
      </c>
      <c r="N79" s="662">
        <f>+L79+M79</f>
        <v>346.56319999999999</v>
      </c>
    </row>
    <row r="80" spans="2:14" ht="22.5" customHeight="1" x14ac:dyDescent="0.3">
      <c r="B80" s="307"/>
      <c r="C80" s="377"/>
      <c r="D80" s="495"/>
      <c r="E80" s="528"/>
      <c r="F80" s="323"/>
      <c r="G80" s="138">
        <v>2</v>
      </c>
      <c r="H80" s="498"/>
      <c r="I80" s="498"/>
      <c r="J80" s="320"/>
      <c r="K80" s="304"/>
      <c r="L80" s="413"/>
      <c r="M80" s="460"/>
      <c r="N80" s="662"/>
    </row>
    <row r="81" spans="2:14" ht="22.5" customHeight="1" x14ac:dyDescent="0.3">
      <c r="B81" s="307"/>
      <c r="C81" s="377"/>
      <c r="D81" s="495"/>
      <c r="E81" s="528"/>
      <c r="F81" s="323"/>
      <c r="G81" s="138">
        <v>3</v>
      </c>
      <c r="H81" s="498"/>
      <c r="I81" s="498"/>
      <c r="J81" s="320"/>
      <c r="K81" s="304"/>
      <c r="L81" s="413"/>
      <c r="M81" s="460"/>
      <c r="N81" s="662"/>
    </row>
    <row r="82" spans="2:14" ht="22.5" customHeight="1" x14ac:dyDescent="0.3">
      <c r="B82" s="307"/>
      <c r="C82" s="377"/>
      <c r="D82" s="495"/>
      <c r="E82" s="528"/>
      <c r="F82" s="323"/>
      <c r="G82" s="138">
        <v>4</v>
      </c>
      <c r="H82" s="498"/>
      <c r="I82" s="498"/>
      <c r="J82" s="320"/>
      <c r="K82" s="304"/>
      <c r="L82" s="413"/>
      <c r="M82" s="460"/>
      <c r="N82" s="662"/>
    </row>
    <row r="83" spans="2:14" ht="14.25" customHeight="1" x14ac:dyDescent="0.3">
      <c r="B83" s="307"/>
      <c r="C83" s="377"/>
      <c r="D83" s="495"/>
      <c r="E83" s="528"/>
      <c r="F83" s="323"/>
      <c r="G83" s="138">
        <v>5</v>
      </c>
      <c r="H83" s="498"/>
      <c r="I83" s="498"/>
      <c r="J83" s="320"/>
      <c r="K83" s="304"/>
      <c r="L83" s="413"/>
      <c r="M83" s="460"/>
      <c r="N83" s="662"/>
    </row>
    <row r="84" spans="2:14" ht="22.5" hidden="1" customHeight="1" x14ac:dyDescent="0.3">
      <c r="B84" s="307"/>
      <c r="C84" s="377"/>
      <c r="D84" s="495"/>
      <c r="E84" s="528"/>
      <c r="F84" s="323"/>
      <c r="G84" s="138">
        <v>6</v>
      </c>
      <c r="H84" s="498"/>
      <c r="I84" s="498"/>
      <c r="J84" s="320"/>
      <c r="K84" s="304"/>
      <c r="L84" s="413"/>
      <c r="M84" s="460"/>
      <c r="N84" s="662"/>
    </row>
    <row r="85" spans="2:14" ht="3" customHeight="1" thickBot="1" x14ac:dyDescent="0.35">
      <c r="B85" s="307"/>
      <c r="C85" s="377"/>
      <c r="D85" s="495"/>
      <c r="E85" s="528"/>
      <c r="F85" s="323"/>
      <c r="G85" s="138">
        <v>7</v>
      </c>
      <c r="H85" s="498"/>
      <c r="I85" s="498"/>
      <c r="J85" s="320"/>
      <c r="K85" s="304"/>
      <c r="L85" s="413"/>
      <c r="M85" s="460"/>
      <c r="N85" s="662"/>
    </row>
    <row r="86" spans="2:14" ht="22.5" hidden="1" customHeight="1" thickBot="1" x14ac:dyDescent="0.35">
      <c r="B86" s="308"/>
      <c r="C86" s="378"/>
      <c r="D86" s="496"/>
      <c r="E86" s="529"/>
      <c r="F86" s="324"/>
      <c r="G86" s="140">
        <v>8</v>
      </c>
      <c r="H86" s="499"/>
      <c r="I86" s="499"/>
      <c r="J86" s="321"/>
      <c r="K86" s="305"/>
      <c r="L86" s="413"/>
      <c r="M86" s="460"/>
      <c r="N86" s="662"/>
    </row>
    <row r="87" spans="2:14" ht="22.5" customHeight="1" x14ac:dyDescent="0.3">
      <c r="B87" s="306" t="str">
        <f>+LEFT(C87,5)</f>
        <v xml:space="preserve">17.4 </v>
      </c>
      <c r="C87" s="376" t="s">
        <v>278</v>
      </c>
      <c r="D87" s="313" t="s">
        <v>203</v>
      </c>
      <c r="E87" s="527" t="s">
        <v>476</v>
      </c>
      <c r="F87" s="322">
        <v>3</v>
      </c>
      <c r="G87" s="141">
        <v>1</v>
      </c>
      <c r="H87" s="433"/>
      <c r="I87" s="433" t="s">
        <v>477</v>
      </c>
      <c r="J87" s="319">
        <v>2</v>
      </c>
      <c r="K87" s="394" t="str">
        <f t="shared" si="6"/>
        <v>Deficiencia de control (diseño o ejecución)</v>
      </c>
      <c r="L87" s="413">
        <f t="shared" ref="L87" si="10">+IF(K87="",312,IF(K87="Deficiencia de control mayor (diseño y ejecución)",320,IF(K87="Deficiencia de control (diseño o ejecución)",340,IF(K87="Oportunidad de mejora",360,380))))</f>
        <v>340</v>
      </c>
      <c r="M87" s="460">
        <v>6.7854000000000001</v>
      </c>
      <c r="N87" s="662">
        <f>+L87+M87</f>
        <v>346.78539999999998</v>
      </c>
    </row>
    <row r="88" spans="2:14" ht="22.5" customHeight="1" x14ac:dyDescent="0.3">
      <c r="B88" s="307"/>
      <c r="C88" s="377"/>
      <c r="D88" s="314"/>
      <c r="E88" s="528"/>
      <c r="F88" s="323"/>
      <c r="G88" s="138">
        <v>2</v>
      </c>
      <c r="H88" s="498"/>
      <c r="I88" s="498"/>
      <c r="J88" s="320"/>
      <c r="K88" s="304"/>
      <c r="L88" s="413"/>
      <c r="M88" s="460"/>
      <c r="N88" s="662"/>
    </row>
    <row r="89" spans="2:14" ht="22.5" customHeight="1" x14ac:dyDescent="0.3">
      <c r="B89" s="307"/>
      <c r="C89" s="377"/>
      <c r="D89" s="314"/>
      <c r="E89" s="528"/>
      <c r="F89" s="323"/>
      <c r="G89" s="138">
        <v>3</v>
      </c>
      <c r="H89" s="498"/>
      <c r="I89" s="498"/>
      <c r="J89" s="320"/>
      <c r="K89" s="304"/>
      <c r="L89" s="413"/>
      <c r="M89" s="460"/>
      <c r="N89" s="662"/>
    </row>
    <row r="90" spans="2:14" ht="22.5" customHeight="1" x14ac:dyDescent="0.3">
      <c r="B90" s="307"/>
      <c r="C90" s="377"/>
      <c r="D90" s="314"/>
      <c r="E90" s="528"/>
      <c r="F90" s="323"/>
      <c r="G90" s="138">
        <v>4</v>
      </c>
      <c r="H90" s="498"/>
      <c r="I90" s="498"/>
      <c r="J90" s="320"/>
      <c r="K90" s="304"/>
      <c r="L90" s="413"/>
      <c r="M90" s="460"/>
      <c r="N90" s="662"/>
    </row>
    <row r="91" spans="2:14" ht="22.5" customHeight="1" x14ac:dyDescent="0.3">
      <c r="B91" s="307"/>
      <c r="C91" s="377"/>
      <c r="D91" s="314"/>
      <c r="E91" s="528"/>
      <c r="F91" s="323"/>
      <c r="G91" s="138">
        <v>5</v>
      </c>
      <c r="H91" s="498"/>
      <c r="I91" s="498"/>
      <c r="J91" s="320"/>
      <c r="K91" s="304"/>
      <c r="L91" s="413"/>
      <c r="M91" s="460"/>
      <c r="N91" s="662"/>
    </row>
    <row r="92" spans="2:14" ht="5.25" customHeight="1" thickBot="1" x14ac:dyDescent="0.35">
      <c r="B92" s="307"/>
      <c r="C92" s="377"/>
      <c r="D92" s="314"/>
      <c r="E92" s="528"/>
      <c r="F92" s="323"/>
      <c r="G92" s="138">
        <v>6</v>
      </c>
      <c r="H92" s="498"/>
      <c r="I92" s="498"/>
      <c r="J92" s="320"/>
      <c r="K92" s="304"/>
      <c r="L92" s="413"/>
      <c r="M92" s="460"/>
      <c r="N92" s="662"/>
    </row>
    <row r="93" spans="2:14" ht="22.5" hidden="1" customHeight="1" thickBot="1" x14ac:dyDescent="0.35">
      <c r="B93" s="307"/>
      <c r="C93" s="377"/>
      <c r="D93" s="314"/>
      <c r="E93" s="528"/>
      <c r="F93" s="323"/>
      <c r="G93" s="138">
        <v>7</v>
      </c>
      <c r="H93" s="498"/>
      <c r="I93" s="498"/>
      <c r="J93" s="320"/>
      <c r="K93" s="304"/>
      <c r="L93" s="413"/>
      <c r="M93" s="460"/>
      <c r="N93" s="662"/>
    </row>
    <row r="94" spans="2:14" ht="22.5" hidden="1" customHeight="1" thickBot="1" x14ac:dyDescent="0.35">
      <c r="B94" s="308"/>
      <c r="C94" s="378"/>
      <c r="D94" s="315"/>
      <c r="E94" s="529"/>
      <c r="F94" s="324"/>
      <c r="G94" s="140">
        <v>8</v>
      </c>
      <c r="H94" s="499"/>
      <c r="I94" s="499"/>
      <c r="J94" s="321"/>
      <c r="K94" s="305"/>
      <c r="L94" s="413"/>
      <c r="M94" s="460"/>
      <c r="N94" s="662"/>
    </row>
    <row r="95" spans="2:14" ht="22.5" customHeight="1" x14ac:dyDescent="0.3">
      <c r="B95" s="306" t="str">
        <f>+LEFT(C95,5)</f>
        <v xml:space="preserve">17.5 </v>
      </c>
      <c r="C95" s="376" t="s">
        <v>279</v>
      </c>
      <c r="D95" s="313" t="s">
        <v>203</v>
      </c>
      <c r="E95" s="527" t="s">
        <v>669</v>
      </c>
      <c r="F95" s="322">
        <v>3</v>
      </c>
      <c r="G95" s="141">
        <v>1</v>
      </c>
      <c r="H95" s="433" t="s">
        <v>478</v>
      </c>
      <c r="I95" s="433" t="s">
        <v>478</v>
      </c>
      <c r="J95" s="319">
        <v>3</v>
      </c>
      <c r="K95" s="394" t="str">
        <f t="shared" si="6"/>
        <v>Mantenimiento del control</v>
      </c>
      <c r="L95" s="413">
        <f t="shared" ref="L95" si="11">+IF(K95="",312,IF(K95="Deficiencia de control mayor (diseño y ejecución)",320,IF(K95="Deficiencia de control (diseño o ejecución)",340,IF(K95="Oportunidad de mejora",360,380))))</f>
        <v>380</v>
      </c>
      <c r="M95" s="460">
        <v>6.8745000000000003</v>
      </c>
      <c r="N95" s="662">
        <f>+L95+M95</f>
        <v>386.87450000000001</v>
      </c>
    </row>
    <row r="96" spans="2:14" ht="22.5" customHeight="1" x14ac:dyDescent="0.3">
      <c r="B96" s="307"/>
      <c r="C96" s="377"/>
      <c r="D96" s="314"/>
      <c r="E96" s="528"/>
      <c r="F96" s="323"/>
      <c r="G96" s="138">
        <v>2</v>
      </c>
      <c r="H96" s="498"/>
      <c r="I96" s="498"/>
      <c r="J96" s="320"/>
      <c r="K96" s="304"/>
      <c r="L96" s="413"/>
      <c r="M96" s="460"/>
      <c r="N96" s="662"/>
    </row>
    <row r="97" spans="2:14" ht="22.5" customHeight="1" x14ac:dyDescent="0.3">
      <c r="B97" s="307"/>
      <c r="C97" s="377"/>
      <c r="D97" s="314"/>
      <c r="E97" s="528"/>
      <c r="F97" s="323"/>
      <c r="G97" s="138">
        <v>3</v>
      </c>
      <c r="H97" s="498"/>
      <c r="I97" s="498"/>
      <c r="J97" s="320"/>
      <c r="K97" s="304"/>
      <c r="L97" s="413"/>
      <c r="M97" s="460"/>
      <c r="N97" s="662"/>
    </row>
    <row r="98" spans="2:14" ht="22.5" customHeight="1" x14ac:dyDescent="0.3">
      <c r="B98" s="307"/>
      <c r="C98" s="377"/>
      <c r="D98" s="314"/>
      <c r="E98" s="528"/>
      <c r="F98" s="323"/>
      <c r="G98" s="138">
        <v>4</v>
      </c>
      <c r="H98" s="498"/>
      <c r="I98" s="498"/>
      <c r="J98" s="320"/>
      <c r="K98" s="304"/>
      <c r="L98" s="413"/>
      <c r="M98" s="460"/>
      <c r="N98" s="662"/>
    </row>
    <row r="99" spans="2:14" ht="22.5" customHeight="1" x14ac:dyDescent="0.3">
      <c r="B99" s="307"/>
      <c r="C99" s="377"/>
      <c r="D99" s="314"/>
      <c r="E99" s="528"/>
      <c r="F99" s="323"/>
      <c r="G99" s="138">
        <v>5</v>
      </c>
      <c r="H99" s="498"/>
      <c r="I99" s="498"/>
      <c r="J99" s="320"/>
      <c r="K99" s="304"/>
      <c r="L99" s="413"/>
      <c r="M99" s="460"/>
      <c r="N99" s="662"/>
    </row>
    <row r="100" spans="2:14" ht="22.5" customHeight="1" x14ac:dyDescent="0.3">
      <c r="B100" s="307"/>
      <c r="C100" s="377"/>
      <c r="D100" s="314"/>
      <c r="E100" s="528"/>
      <c r="F100" s="323"/>
      <c r="G100" s="138">
        <v>6</v>
      </c>
      <c r="H100" s="498"/>
      <c r="I100" s="498"/>
      <c r="J100" s="320"/>
      <c r="K100" s="304"/>
      <c r="L100" s="413"/>
      <c r="M100" s="460"/>
      <c r="N100" s="662"/>
    </row>
    <row r="101" spans="2:14" ht="1.5" customHeight="1" thickBot="1" x14ac:dyDescent="0.35">
      <c r="B101" s="307"/>
      <c r="C101" s="377"/>
      <c r="D101" s="314"/>
      <c r="E101" s="528"/>
      <c r="F101" s="323"/>
      <c r="G101" s="138">
        <v>7</v>
      </c>
      <c r="H101" s="498"/>
      <c r="I101" s="498"/>
      <c r="J101" s="320"/>
      <c r="K101" s="304"/>
      <c r="L101" s="413"/>
      <c r="M101" s="460"/>
      <c r="N101" s="662"/>
    </row>
    <row r="102" spans="2:14" ht="22.5" hidden="1" customHeight="1" thickBot="1" x14ac:dyDescent="0.35">
      <c r="B102" s="308"/>
      <c r="C102" s="378"/>
      <c r="D102" s="315"/>
      <c r="E102" s="529"/>
      <c r="F102" s="324"/>
      <c r="G102" s="140">
        <v>8</v>
      </c>
      <c r="H102" s="499"/>
      <c r="I102" s="499"/>
      <c r="J102" s="321"/>
      <c r="K102" s="305"/>
      <c r="L102" s="413"/>
      <c r="M102" s="460"/>
      <c r="N102" s="662"/>
    </row>
    <row r="103" spans="2:14" ht="22.5" customHeight="1" x14ac:dyDescent="0.3">
      <c r="B103" s="306" t="str">
        <f>+LEFT(C103,5)</f>
        <v xml:space="preserve">17.6 </v>
      </c>
      <c r="C103" s="376" t="s">
        <v>280</v>
      </c>
      <c r="D103" s="313" t="s">
        <v>281</v>
      </c>
      <c r="E103" s="433" t="s">
        <v>670</v>
      </c>
      <c r="F103" s="322">
        <v>3</v>
      </c>
      <c r="G103" s="141">
        <v>1</v>
      </c>
      <c r="H103" s="433"/>
      <c r="I103" s="433" t="s">
        <v>464</v>
      </c>
      <c r="J103" s="319">
        <v>1</v>
      </c>
      <c r="K103" s="394" t="str">
        <f t="shared" si="6"/>
        <v>Deficiencia de control (diseño o ejecución)</v>
      </c>
      <c r="L103" s="413">
        <f t="shared" ref="L103" si="12">+IF(K103="",312,IF(K103="Deficiencia de control mayor (diseño y ejecución)",320,IF(K103="Deficiencia de control (diseño o ejecución)",340,IF(K103="Oportunidad de mejora",360,380))))</f>
        <v>340</v>
      </c>
      <c r="M103" s="460">
        <v>6.9874000000000001</v>
      </c>
      <c r="N103" s="662">
        <f>+L103+M103</f>
        <v>346.98739999999998</v>
      </c>
    </row>
    <row r="104" spans="2:14" ht="22.5" customHeight="1" x14ac:dyDescent="0.3">
      <c r="B104" s="307"/>
      <c r="C104" s="377"/>
      <c r="D104" s="314"/>
      <c r="E104" s="425"/>
      <c r="F104" s="323"/>
      <c r="G104" s="138">
        <v>2</v>
      </c>
      <c r="H104" s="498"/>
      <c r="I104" s="498"/>
      <c r="J104" s="320"/>
      <c r="K104" s="304"/>
      <c r="L104" s="413"/>
      <c r="M104" s="460"/>
      <c r="N104" s="662"/>
    </row>
    <row r="105" spans="2:14" ht="22.5" customHeight="1" x14ac:dyDescent="0.3">
      <c r="B105" s="307"/>
      <c r="C105" s="377"/>
      <c r="D105" s="314"/>
      <c r="E105" s="425"/>
      <c r="F105" s="323"/>
      <c r="G105" s="138">
        <v>3</v>
      </c>
      <c r="H105" s="498"/>
      <c r="I105" s="498"/>
      <c r="J105" s="320"/>
      <c r="K105" s="304"/>
      <c r="L105" s="413"/>
      <c r="M105" s="460"/>
      <c r="N105" s="662"/>
    </row>
    <row r="106" spans="2:14" ht="22.5" customHeight="1" x14ac:dyDescent="0.3">
      <c r="B106" s="307"/>
      <c r="C106" s="377"/>
      <c r="D106" s="314"/>
      <c r="E106" s="425"/>
      <c r="F106" s="323"/>
      <c r="G106" s="138">
        <v>4</v>
      </c>
      <c r="H106" s="498"/>
      <c r="I106" s="498"/>
      <c r="J106" s="320"/>
      <c r="K106" s="304"/>
      <c r="L106" s="413"/>
      <c r="M106" s="460"/>
      <c r="N106" s="662"/>
    </row>
    <row r="107" spans="2:14" ht="22.5" customHeight="1" x14ac:dyDescent="0.3">
      <c r="B107" s="307"/>
      <c r="C107" s="377"/>
      <c r="D107" s="314"/>
      <c r="E107" s="425"/>
      <c r="F107" s="323"/>
      <c r="G107" s="138">
        <v>5</v>
      </c>
      <c r="H107" s="498"/>
      <c r="I107" s="498"/>
      <c r="J107" s="320"/>
      <c r="K107" s="304"/>
      <c r="L107" s="413"/>
      <c r="M107" s="460"/>
      <c r="N107" s="662"/>
    </row>
    <row r="108" spans="2:14" ht="6" customHeight="1" thickBot="1" x14ac:dyDescent="0.35">
      <c r="B108" s="307"/>
      <c r="C108" s="377"/>
      <c r="D108" s="314"/>
      <c r="E108" s="425"/>
      <c r="F108" s="323"/>
      <c r="G108" s="138">
        <v>6</v>
      </c>
      <c r="H108" s="498"/>
      <c r="I108" s="498"/>
      <c r="J108" s="320"/>
      <c r="K108" s="304"/>
      <c r="L108" s="413"/>
      <c r="M108" s="460"/>
      <c r="N108" s="662"/>
    </row>
    <row r="109" spans="2:14" ht="22.5" hidden="1" customHeight="1" thickBot="1" x14ac:dyDescent="0.35">
      <c r="B109" s="307"/>
      <c r="C109" s="377"/>
      <c r="D109" s="314"/>
      <c r="E109" s="425"/>
      <c r="F109" s="323"/>
      <c r="G109" s="138">
        <v>7</v>
      </c>
      <c r="H109" s="498"/>
      <c r="I109" s="498"/>
      <c r="J109" s="320"/>
      <c r="K109" s="304"/>
      <c r="L109" s="413"/>
      <c r="M109" s="460"/>
      <c r="N109" s="662"/>
    </row>
    <row r="110" spans="2:14" ht="22.5" hidden="1" customHeight="1" thickBot="1" x14ac:dyDescent="0.35">
      <c r="B110" s="308"/>
      <c r="C110" s="378"/>
      <c r="D110" s="315"/>
      <c r="E110" s="426"/>
      <c r="F110" s="324"/>
      <c r="G110" s="140">
        <v>8</v>
      </c>
      <c r="H110" s="499"/>
      <c r="I110" s="499"/>
      <c r="J110" s="321"/>
      <c r="K110" s="305"/>
      <c r="L110" s="413"/>
      <c r="M110" s="460"/>
      <c r="N110" s="662"/>
    </row>
    <row r="111" spans="2:14" ht="43.5" customHeight="1" x14ac:dyDescent="0.3">
      <c r="B111" s="306" t="str">
        <f>+LEFT(C111,5)</f>
        <v xml:space="preserve">17.7 </v>
      </c>
      <c r="C111" s="573" t="s">
        <v>282</v>
      </c>
      <c r="D111" s="313" t="s">
        <v>283</v>
      </c>
      <c r="E111" s="433" t="s">
        <v>465</v>
      </c>
      <c r="F111" s="322">
        <v>2</v>
      </c>
      <c r="G111" s="141">
        <v>1</v>
      </c>
      <c r="H111" s="138"/>
      <c r="I111" s="142"/>
      <c r="J111" s="319">
        <v>1</v>
      </c>
      <c r="K111" s="430" t="str">
        <f t="shared" si="6"/>
        <v>Deficiencia de control (diseño o ejecución)</v>
      </c>
      <c r="L111" s="413">
        <f t="shared" ref="L111" si="13">+IF(K111="",312,IF(K111="Deficiencia de control mayor (diseño y ejecución)",320,IF(K111="Deficiencia de control (diseño o ejecución)",340,IF(K111="Oportunidad de mejora",360,380))))</f>
        <v>340</v>
      </c>
      <c r="M111" s="460">
        <v>6.9874499999999999</v>
      </c>
      <c r="N111" s="662">
        <f>+L111+M111</f>
        <v>346.98745000000002</v>
      </c>
    </row>
    <row r="112" spans="2:14" ht="35.25" customHeight="1" x14ac:dyDescent="0.3">
      <c r="B112" s="307"/>
      <c r="C112" s="574"/>
      <c r="D112" s="314"/>
      <c r="E112" s="425"/>
      <c r="F112" s="323"/>
      <c r="G112" s="138">
        <v>2</v>
      </c>
      <c r="H112" s="138"/>
      <c r="I112" s="142"/>
      <c r="J112" s="320"/>
      <c r="K112" s="431"/>
      <c r="L112" s="413"/>
      <c r="M112" s="460"/>
      <c r="N112" s="662"/>
    </row>
    <row r="113" spans="2:14" ht="22.5" customHeight="1" x14ac:dyDescent="0.3">
      <c r="B113" s="307"/>
      <c r="C113" s="574"/>
      <c r="D113" s="314"/>
      <c r="E113" s="425"/>
      <c r="F113" s="323"/>
      <c r="G113" s="138">
        <v>3</v>
      </c>
      <c r="H113" s="138"/>
      <c r="I113" s="142"/>
      <c r="J113" s="320"/>
      <c r="K113" s="431"/>
      <c r="L113" s="413"/>
      <c r="M113" s="460"/>
      <c r="N113" s="662"/>
    </row>
    <row r="114" spans="2:14" ht="22.5" customHeight="1" x14ac:dyDescent="0.3">
      <c r="B114" s="307"/>
      <c r="C114" s="574"/>
      <c r="D114" s="314"/>
      <c r="E114" s="425"/>
      <c r="F114" s="323"/>
      <c r="G114" s="138">
        <v>4</v>
      </c>
      <c r="H114" s="138"/>
      <c r="I114" s="142"/>
      <c r="J114" s="320"/>
      <c r="K114" s="431"/>
      <c r="L114" s="413"/>
      <c r="M114" s="460"/>
      <c r="N114" s="662"/>
    </row>
    <row r="115" spans="2:14" ht="9" customHeight="1" thickBot="1" x14ac:dyDescent="0.35">
      <c r="B115" s="307"/>
      <c r="C115" s="574"/>
      <c r="D115" s="314"/>
      <c r="E115" s="425"/>
      <c r="F115" s="323"/>
      <c r="G115" s="138">
        <v>5</v>
      </c>
      <c r="H115" s="138"/>
      <c r="I115" s="142"/>
      <c r="J115" s="320"/>
      <c r="K115" s="431"/>
      <c r="L115" s="413"/>
      <c r="M115" s="460"/>
      <c r="N115" s="662"/>
    </row>
    <row r="116" spans="2:14" ht="22.5" hidden="1" customHeight="1" thickBot="1" x14ac:dyDescent="0.35">
      <c r="B116" s="307"/>
      <c r="C116" s="574"/>
      <c r="D116" s="314"/>
      <c r="E116" s="425"/>
      <c r="F116" s="323"/>
      <c r="G116" s="138">
        <v>6</v>
      </c>
      <c r="H116" s="138"/>
      <c r="I116" s="142"/>
      <c r="J116" s="320"/>
      <c r="K116" s="431"/>
      <c r="L116" s="413"/>
      <c r="M116" s="460"/>
      <c r="N116" s="662"/>
    </row>
    <row r="117" spans="2:14" ht="22.5" hidden="1" customHeight="1" thickBot="1" x14ac:dyDescent="0.35">
      <c r="B117" s="307"/>
      <c r="C117" s="574"/>
      <c r="D117" s="314"/>
      <c r="E117" s="425"/>
      <c r="F117" s="323"/>
      <c r="G117" s="138">
        <v>7</v>
      </c>
      <c r="H117" s="138"/>
      <c r="I117" s="142"/>
      <c r="J117" s="320"/>
      <c r="K117" s="431"/>
      <c r="L117" s="413"/>
      <c r="M117" s="460"/>
      <c r="N117" s="662"/>
    </row>
    <row r="118" spans="2:14" ht="22.5" hidden="1" customHeight="1" thickBot="1" x14ac:dyDescent="0.35">
      <c r="B118" s="308"/>
      <c r="C118" s="575"/>
      <c r="D118" s="315"/>
      <c r="E118" s="426"/>
      <c r="F118" s="324"/>
      <c r="G118" s="140">
        <v>8</v>
      </c>
      <c r="H118" s="140"/>
      <c r="I118" s="142"/>
      <c r="J118" s="321"/>
      <c r="K118" s="432"/>
      <c r="L118" s="413"/>
      <c r="M118" s="460"/>
      <c r="N118" s="662"/>
    </row>
    <row r="119" spans="2:14" ht="22.5" customHeight="1" x14ac:dyDescent="0.3">
      <c r="B119" s="306" t="str">
        <f>+LEFT(C119,5)</f>
        <v xml:space="preserve">17.8 </v>
      </c>
      <c r="C119" s="693" t="s">
        <v>284</v>
      </c>
      <c r="D119" s="313" t="s">
        <v>283</v>
      </c>
      <c r="E119" s="500" t="s">
        <v>479</v>
      </c>
      <c r="F119" s="322">
        <v>3</v>
      </c>
      <c r="G119" s="137">
        <v>1</v>
      </c>
      <c r="H119" s="137"/>
      <c r="I119" s="456" t="s">
        <v>509</v>
      </c>
      <c r="J119" s="319">
        <v>1</v>
      </c>
      <c r="K119" s="430" t="str">
        <f t="shared" si="6"/>
        <v>Deficiencia de control (diseño o ejecución)</v>
      </c>
      <c r="L119" s="413">
        <f t="shared" ref="L119" si="14">+IF(K119="",312,IF(K119="Deficiencia de control mayor (diseño y ejecución)",320,IF(K119="Deficiencia de control (diseño o ejecución)",340,IF(K119="Oportunidad de mejora",360,380))))</f>
        <v>340</v>
      </c>
      <c r="M119" s="460">
        <v>6.9874559999999999</v>
      </c>
      <c r="N119" s="662">
        <f>+L119+M119</f>
        <v>346.98745600000001</v>
      </c>
    </row>
    <row r="120" spans="2:14" ht="22.5" customHeight="1" x14ac:dyDescent="0.3">
      <c r="B120" s="307"/>
      <c r="C120" s="694"/>
      <c r="D120" s="314"/>
      <c r="E120" s="344"/>
      <c r="F120" s="323"/>
      <c r="G120" s="138">
        <v>2</v>
      </c>
      <c r="H120" s="138"/>
      <c r="I120" s="334"/>
      <c r="J120" s="320"/>
      <c r="K120" s="431"/>
      <c r="L120" s="413"/>
      <c r="M120" s="460"/>
      <c r="N120" s="662"/>
    </row>
    <row r="121" spans="2:14" ht="22.5" customHeight="1" x14ac:dyDescent="0.3">
      <c r="B121" s="307"/>
      <c r="C121" s="694"/>
      <c r="D121" s="314"/>
      <c r="E121" s="344"/>
      <c r="F121" s="323"/>
      <c r="G121" s="138">
        <v>3</v>
      </c>
      <c r="H121" s="138"/>
      <c r="I121" s="334"/>
      <c r="J121" s="320"/>
      <c r="K121" s="431"/>
      <c r="L121" s="413"/>
      <c r="M121" s="460"/>
      <c r="N121" s="662"/>
    </row>
    <row r="122" spans="2:14" ht="22.5" customHeight="1" x14ac:dyDescent="0.3">
      <c r="B122" s="307"/>
      <c r="C122" s="694"/>
      <c r="D122" s="314"/>
      <c r="E122" s="344"/>
      <c r="F122" s="323"/>
      <c r="G122" s="138">
        <v>4</v>
      </c>
      <c r="H122" s="138"/>
      <c r="I122" s="334"/>
      <c r="J122" s="320"/>
      <c r="K122" s="431"/>
      <c r="L122" s="413"/>
      <c r="M122" s="460"/>
      <c r="N122" s="662"/>
    </row>
    <row r="123" spans="2:14" ht="22.5" customHeight="1" x14ac:dyDescent="0.3">
      <c r="B123" s="307"/>
      <c r="C123" s="694"/>
      <c r="D123" s="314"/>
      <c r="E123" s="344"/>
      <c r="F123" s="323"/>
      <c r="G123" s="138">
        <v>5</v>
      </c>
      <c r="H123" s="138"/>
      <c r="I123" s="334"/>
      <c r="J123" s="320"/>
      <c r="K123" s="431"/>
      <c r="L123" s="413"/>
      <c r="M123" s="460"/>
      <c r="N123" s="662"/>
    </row>
    <row r="124" spans="2:14" ht="18.75" customHeight="1" thickBot="1" x14ac:dyDescent="0.35">
      <c r="B124" s="307"/>
      <c r="C124" s="694"/>
      <c r="D124" s="314"/>
      <c r="E124" s="344"/>
      <c r="F124" s="323"/>
      <c r="G124" s="138">
        <v>6</v>
      </c>
      <c r="H124" s="138"/>
      <c r="I124" s="334"/>
      <c r="J124" s="320"/>
      <c r="K124" s="431"/>
      <c r="L124" s="413"/>
      <c r="M124" s="460"/>
      <c r="N124" s="662"/>
    </row>
    <row r="125" spans="2:14" ht="22.5" hidden="1" customHeight="1" thickBot="1" x14ac:dyDescent="0.35">
      <c r="B125" s="307"/>
      <c r="C125" s="694"/>
      <c r="D125" s="314"/>
      <c r="E125" s="344"/>
      <c r="F125" s="323"/>
      <c r="G125" s="138">
        <v>7</v>
      </c>
      <c r="H125" s="138"/>
      <c r="I125" s="334"/>
      <c r="J125" s="320"/>
      <c r="K125" s="431"/>
      <c r="L125" s="413"/>
      <c r="M125" s="460"/>
      <c r="N125" s="662"/>
    </row>
    <row r="126" spans="2:14" ht="22.5" hidden="1" customHeight="1" thickBot="1" x14ac:dyDescent="0.35">
      <c r="B126" s="308"/>
      <c r="C126" s="695"/>
      <c r="D126" s="315"/>
      <c r="E126" s="345"/>
      <c r="F126" s="324"/>
      <c r="G126" s="140">
        <v>8</v>
      </c>
      <c r="H126" s="140"/>
      <c r="I126" s="335"/>
      <c r="J126" s="321"/>
      <c r="K126" s="432"/>
      <c r="L126" s="413"/>
      <c r="M126" s="460"/>
      <c r="N126" s="662"/>
    </row>
    <row r="127" spans="2:14" ht="22.5" customHeight="1" x14ac:dyDescent="0.3">
      <c r="B127" s="306" t="str">
        <f>+LEFT(C127,5)</f>
        <v xml:space="preserve">17.9 </v>
      </c>
      <c r="C127" s="376" t="s">
        <v>285</v>
      </c>
      <c r="D127" s="313" t="s">
        <v>283</v>
      </c>
      <c r="E127" s="279" t="s">
        <v>466</v>
      </c>
      <c r="F127" s="322">
        <v>3</v>
      </c>
      <c r="G127" s="141">
        <v>1</v>
      </c>
      <c r="H127" s="279" t="s">
        <v>481</v>
      </c>
      <c r="I127" s="500" t="s">
        <v>480</v>
      </c>
      <c r="J127" s="319">
        <v>2</v>
      </c>
      <c r="K127" s="394" t="str">
        <f t="shared" ref="K127" si="15">+IF(OR(ISBLANK(F127),ISBLANK(J127)),"",IF(OR(AND(F127=1,J127=1),AND(F127=1,J127=2),AND(F127=1,J127=3)),"Deficiencia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Deficiencia de control (diseño o ejecución)</v>
      </c>
      <c r="L127" s="413">
        <f t="shared" ref="L127" si="16">+IF(K127="",312,IF(K127="Deficiencia de control mayor (diseño y ejecución)",320,IF(K127="Deficiencia de control (diseño o ejecución)",340,IF(K127="Oportunidad de mejora",360,380))))</f>
        <v>340</v>
      </c>
      <c r="M127" s="460">
        <v>7.0122999999999998</v>
      </c>
      <c r="N127" s="662">
        <f>+L127+M127</f>
        <v>347.01229999999998</v>
      </c>
    </row>
    <row r="128" spans="2:14" ht="22.5" customHeight="1" x14ac:dyDescent="0.3">
      <c r="B128" s="307"/>
      <c r="C128" s="377"/>
      <c r="D128" s="314"/>
      <c r="E128" s="280"/>
      <c r="F128" s="323"/>
      <c r="G128" s="138">
        <v>2</v>
      </c>
      <c r="H128" s="280"/>
      <c r="I128" s="344"/>
      <c r="J128" s="320"/>
      <c r="K128" s="304"/>
      <c r="L128" s="413"/>
      <c r="M128" s="460"/>
      <c r="N128" s="662"/>
    </row>
    <row r="129" spans="2:14" ht="22.5" customHeight="1" x14ac:dyDescent="0.3">
      <c r="B129" s="307"/>
      <c r="C129" s="377"/>
      <c r="D129" s="314"/>
      <c r="E129" s="280"/>
      <c r="F129" s="323"/>
      <c r="G129" s="138">
        <v>3</v>
      </c>
      <c r="H129" s="280"/>
      <c r="I129" s="344"/>
      <c r="J129" s="320"/>
      <c r="K129" s="304"/>
      <c r="L129" s="413"/>
      <c r="M129" s="460"/>
      <c r="N129" s="662"/>
    </row>
    <row r="130" spans="2:14" ht="22.5" customHeight="1" x14ac:dyDescent="0.3">
      <c r="B130" s="307"/>
      <c r="C130" s="377"/>
      <c r="D130" s="314"/>
      <c r="E130" s="280"/>
      <c r="F130" s="323"/>
      <c r="G130" s="138">
        <v>4</v>
      </c>
      <c r="H130" s="280"/>
      <c r="I130" s="344"/>
      <c r="J130" s="320"/>
      <c r="K130" s="304"/>
      <c r="L130" s="413"/>
      <c r="M130" s="460"/>
      <c r="N130" s="662"/>
    </row>
    <row r="131" spans="2:14" ht="22.5" customHeight="1" x14ac:dyDescent="0.3">
      <c r="B131" s="307"/>
      <c r="C131" s="377"/>
      <c r="D131" s="314"/>
      <c r="E131" s="280"/>
      <c r="F131" s="323"/>
      <c r="G131" s="138">
        <v>5</v>
      </c>
      <c r="H131" s="280"/>
      <c r="I131" s="344"/>
      <c r="J131" s="320"/>
      <c r="K131" s="304"/>
      <c r="L131" s="413"/>
      <c r="M131" s="460"/>
      <c r="N131" s="662"/>
    </row>
    <row r="132" spans="2:14" ht="22.5" customHeight="1" x14ac:dyDescent="0.3">
      <c r="B132" s="307"/>
      <c r="C132" s="377"/>
      <c r="D132" s="314"/>
      <c r="E132" s="280"/>
      <c r="F132" s="323"/>
      <c r="G132" s="138">
        <v>6</v>
      </c>
      <c r="H132" s="280"/>
      <c r="I132" s="344"/>
      <c r="J132" s="320"/>
      <c r="K132" s="304"/>
      <c r="L132" s="413"/>
      <c r="M132" s="460"/>
      <c r="N132" s="662"/>
    </row>
    <row r="133" spans="2:14" ht="22.5" customHeight="1" x14ac:dyDescent="0.3">
      <c r="B133" s="307"/>
      <c r="C133" s="377"/>
      <c r="D133" s="314"/>
      <c r="E133" s="280"/>
      <c r="F133" s="323"/>
      <c r="G133" s="138">
        <v>7</v>
      </c>
      <c r="H133" s="280"/>
      <c r="I133" s="344"/>
      <c r="J133" s="320"/>
      <c r="K133" s="304"/>
      <c r="L133" s="413"/>
      <c r="M133" s="460"/>
      <c r="N133" s="662"/>
    </row>
    <row r="134" spans="2:14" ht="22.5" customHeight="1" thickBot="1" x14ac:dyDescent="0.35">
      <c r="B134" s="308"/>
      <c r="C134" s="378"/>
      <c r="D134" s="315"/>
      <c r="E134" s="281"/>
      <c r="F134" s="324"/>
      <c r="G134" s="140">
        <v>8</v>
      </c>
      <c r="H134" s="281"/>
      <c r="I134" s="345"/>
      <c r="J134" s="321"/>
      <c r="K134" s="305"/>
      <c r="L134" s="413"/>
      <c r="M134" s="460"/>
      <c r="N134" s="662"/>
    </row>
  </sheetData>
  <sheetProtection password="D72A" sheet="1" objects="1" scenarios="1" formatCells="0" formatColumns="0" formatRows="0"/>
  <mergeCells count="189">
    <mergeCell ref="D119:D126"/>
    <mergeCell ref="E119:E126"/>
    <mergeCell ref="F119:F126"/>
    <mergeCell ref="I119:I126"/>
    <mergeCell ref="J119:J126"/>
    <mergeCell ref="K119:K126"/>
    <mergeCell ref="C119:C126"/>
    <mergeCell ref="C111:C118"/>
    <mergeCell ref="D111:D118"/>
    <mergeCell ref="E111:E118"/>
    <mergeCell ref="F111:F118"/>
    <mergeCell ref="J111:J118"/>
    <mergeCell ref="K111:K118"/>
    <mergeCell ref="B87:B94"/>
    <mergeCell ref="B95:B102"/>
    <mergeCell ref="B103:B110"/>
    <mergeCell ref="B127:B134"/>
    <mergeCell ref="B52:B59"/>
    <mergeCell ref="B60:B62"/>
    <mergeCell ref="B63:B70"/>
    <mergeCell ref="B71:B78"/>
    <mergeCell ref="B79:B86"/>
    <mergeCell ref="B111:B118"/>
    <mergeCell ref="B119:B126"/>
    <mergeCell ref="B17:B19"/>
    <mergeCell ref="B20:B27"/>
    <mergeCell ref="B28:B35"/>
    <mergeCell ref="B36:B43"/>
    <mergeCell ref="B44:B51"/>
    <mergeCell ref="K127:K134"/>
    <mergeCell ref="K71:K78"/>
    <mergeCell ref="K79:K86"/>
    <mergeCell ref="K87:K94"/>
    <mergeCell ref="K95:K102"/>
    <mergeCell ref="K103:K110"/>
    <mergeCell ref="K36:K43"/>
    <mergeCell ref="K44:K51"/>
    <mergeCell ref="K52:K59"/>
    <mergeCell ref="K60:K62"/>
    <mergeCell ref="K63:K70"/>
    <mergeCell ref="K17:K19"/>
    <mergeCell ref="C127:C134"/>
    <mergeCell ref="D127:D134"/>
    <mergeCell ref="E127:E134"/>
    <mergeCell ref="F127:F134"/>
    <mergeCell ref="J127:J134"/>
    <mergeCell ref="J71:J78"/>
    <mergeCell ref="C44:C51"/>
    <mergeCell ref="C14:K14"/>
    <mergeCell ref="C15:K15"/>
    <mergeCell ref="K20:K27"/>
    <mergeCell ref="K28:K35"/>
    <mergeCell ref="D17:D19"/>
    <mergeCell ref="C20:C27"/>
    <mergeCell ref="E20:E27"/>
    <mergeCell ref="F20:F27"/>
    <mergeCell ref="G18:G19"/>
    <mergeCell ref="C17:C19"/>
    <mergeCell ref="F17:F19"/>
    <mergeCell ref="G17:I17"/>
    <mergeCell ref="I18:I19"/>
    <mergeCell ref="E17:E19"/>
    <mergeCell ref="J17:J19"/>
    <mergeCell ref="C28:C35"/>
    <mergeCell ref="D28:D35"/>
    <mergeCell ref="E28:E35"/>
    <mergeCell ref="F28:F35"/>
    <mergeCell ref="J28:J35"/>
    <mergeCell ref="D20:D27"/>
    <mergeCell ref="J20:J27"/>
    <mergeCell ref="H18:H19"/>
    <mergeCell ref="I20:I27"/>
    <mergeCell ref="C79:C86"/>
    <mergeCell ref="E79:E86"/>
    <mergeCell ref="F79:F86"/>
    <mergeCell ref="D79:D86"/>
    <mergeCell ref="D87:D94"/>
    <mergeCell ref="C87:C94"/>
    <mergeCell ref="E87:E94"/>
    <mergeCell ref="F87:F94"/>
    <mergeCell ref="D103:D110"/>
    <mergeCell ref="D95:D102"/>
    <mergeCell ref="C103:C110"/>
    <mergeCell ref="E103:E110"/>
    <mergeCell ref="F103:F110"/>
    <mergeCell ref="C95:C102"/>
    <mergeCell ref="E95:E102"/>
    <mergeCell ref="F95:F102"/>
    <mergeCell ref="E44:E51"/>
    <mergeCell ref="F44:F51"/>
    <mergeCell ref="J44:J51"/>
    <mergeCell ref="I61:I62"/>
    <mergeCell ref="G60:I60"/>
    <mergeCell ref="G61:G62"/>
    <mergeCell ref="F52:F59"/>
    <mergeCell ref="D60:D62"/>
    <mergeCell ref="H61:H62"/>
    <mergeCell ref="H44:H51"/>
    <mergeCell ref="I44:I51"/>
    <mergeCell ref="M111:M118"/>
    <mergeCell ref="M119:M126"/>
    <mergeCell ref="C36:C43"/>
    <mergeCell ref="E36:E43"/>
    <mergeCell ref="F36:F43"/>
    <mergeCell ref="C71:C78"/>
    <mergeCell ref="E71:E78"/>
    <mergeCell ref="F71:F78"/>
    <mergeCell ref="C63:C70"/>
    <mergeCell ref="E63:E70"/>
    <mergeCell ref="F63:F70"/>
    <mergeCell ref="C52:C59"/>
    <mergeCell ref="E52:E59"/>
    <mergeCell ref="D71:D78"/>
    <mergeCell ref="D52:D59"/>
    <mergeCell ref="D63:D70"/>
    <mergeCell ref="C60:C62"/>
    <mergeCell ref="J52:J59"/>
    <mergeCell ref="J60:J62"/>
    <mergeCell ref="D36:D43"/>
    <mergeCell ref="J36:J43"/>
    <mergeCell ref="F60:F62"/>
    <mergeCell ref="E60:E62"/>
    <mergeCell ref="D44:D51"/>
    <mergeCell ref="M17:M19"/>
    <mergeCell ref="M20:M27"/>
    <mergeCell ref="M28:M35"/>
    <mergeCell ref="M36:M43"/>
    <mergeCell ref="M44:M51"/>
    <mergeCell ref="M52:M59"/>
    <mergeCell ref="M60:M62"/>
    <mergeCell ref="M63:M70"/>
    <mergeCell ref="M71:M78"/>
    <mergeCell ref="L17:L19"/>
    <mergeCell ref="L20:L27"/>
    <mergeCell ref="L28:L35"/>
    <mergeCell ref="L36:L43"/>
    <mergeCell ref="L44:L51"/>
    <mergeCell ref="L52:L59"/>
    <mergeCell ref="L60:L62"/>
    <mergeCell ref="L63:L70"/>
    <mergeCell ref="L71:L78"/>
    <mergeCell ref="N17:N19"/>
    <mergeCell ref="N20:N27"/>
    <mergeCell ref="N28:N35"/>
    <mergeCell ref="N36:N43"/>
    <mergeCell ref="N44:N51"/>
    <mergeCell ref="N52:N59"/>
    <mergeCell ref="N60:N62"/>
    <mergeCell ref="N63:N70"/>
    <mergeCell ref="N71:N78"/>
    <mergeCell ref="N111:N118"/>
    <mergeCell ref="N119:N126"/>
    <mergeCell ref="I127:I134"/>
    <mergeCell ref="I28:I35"/>
    <mergeCell ref="I63:I70"/>
    <mergeCell ref="I71:I78"/>
    <mergeCell ref="I79:I86"/>
    <mergeCell ref="I87:I94"/>
    <mergeCell ref="I95:I102"/>
    <mergeCell ref="N79:N86"/>
    <mergeCell ref="N87:N94"/>
    <mergeCell ref="N95:N102"/>
    <mergeCell ref="N103:N110"/>
    <mergeCell ref="N127:N134"/>
    <mergeCell ref="L79:L86"/>
    <mergeCell ref="L87:L94"/>
    <mergeCell ref="L95:L102"/>
    <mergeCell ref="L103:L110"/>
    <mergeCell ref="L127:L134"/>
    <mergeCell ref="M79:M86"/>
    <mergeCell ref="M87:M94"/>
    <mergeCell ref="M95:M102"/>
    <mergeCell ref="M103:M110"/>
    <mergeCell ref="M127:M134"/>
    <mergeCell ref="H95:H102"/>
    <mergeCell ref="H103:H110"/>
    <mergeCell ref="H127:H134"/>
    <mergeCell ref="L111:L118"/>
    <mergeCell ref="L119:L126"/>
    <mergeCell ref="J63:J70"/>
    <mergeCell ref="J95:J102"/>
    <mergeCell ref="J103:J110"/>
    <mergeCell ref="I103:I110"/>
    <mergeCell ref="J79:J86"/>
    <mergeCell ref="J87:J94"/>
    <mergeCell ref="H63:H70"/>
    <mergeCell ref="H71:H78"/>
    <mergeCell ref="H79:H86"/>
    <mergeCell ref="H87:H94"/>
  </mergeCells>
  <dataValidations count="1">
    <dataValidation type="list" allowBlank="1" showInputMessage="1" showErrorMessage="1" sqref="J20:J59 F20:F59 F63:F134 J63:J134">
      <formula1>"1,2,3"</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048570"/>
  <sheetViews>
    <sheetView topLeftCell="A42" zoomScale="80" zoomScaleNormal="80" workbookViewId="0">
      <selection activeCell="E48" sqref="E48"/>
    </sheetView>
  </sheetViews>
  <sheetFormatPr baseColWidth="10" defaultColWidth="11.42578125" defaultRowHeight="12.75" x14ac:dyDescent="0.2"/>
  <cols>
    <col min="1" max="1" width="2.42578125" style="54" customWidth="1"/>
    <col min="2" max="2" width="25.140625" style="54" customWidth="1"/>
    <col min="3" max="3" width="24.140625" style="54" customWidth="1"/>
    <col min="4" max="4" width="24.28515625" style="54" customWidth="1"/>
    <col min="5" max="5" width="34.85546875" style="54" customWidth="1"/>
    <col min="6" max="6" width="37.28515625" style="54" customWidth="1"/>
    <col min="7" max="7" width="22.85546875" style="54" customWidth="1"/>
    <col min="8" max="8" width="31.140625" style="54" customWidth="1"/>
    <col min="9" max="9" width="44.42578125" style="54" customWidth="1"/>
    <col min="10" max="10" width="2" style="95" customWidth="1"/>
    <col min="11" max="11" width="26.42578125" style="54" customWidth="1"/>
    <col min="12" max="12" width="28.7109375" style="54" customWidth="1"/>
    <col min="13" max="13" width="28.42578125" style="54" customWidth="1"/>
    <col min="14" max="14" width="50" style="54" customWidth="1"/>
    <col min="15" max="15" width="32.42578125" style="54" customWidth="1"/>
    <col min="16" max="16" width="28.5703125" style="54" customWidth="1"/>
    <col min="17" max="17" width="23.28515625" style="54" customWidth="1"/>
    <col min="18" max="18" width="22.140625" style="54" customWidth="1"/>
    <col min="19" max="19" width="18.28515625" style="54" customWidth="1"/>
    <col min="20" max="16384" width="11.42578125" style="54"/>
  </cols>
  <sheetData>
    <row r="1" spans="2:19" s="52" customFormat="1" ht="12.95" customHeight="1" x14ac:dyDescent="0.2">
      <c r="B1" s="50"/>
      <c r="C1" s="51"/>
      <c r="J1" s="93"/>
    </row>
    <row r="2" spans="2:19" s="52" customFormat="1" ht="12.95" customHeight="1" x14ac:dyDescent="0.2">
      <c r="B2" s="50"/>
      <c r="C2" s="51"/>
      <c r="J2" s="93"/>
    </row>
    <row r="3" spans="2:19" s="52" customFormat="1" ht="12.95" customHeight="1" thickBot="1" x14ac:dyDescent="0.25">
      <c r="B3" s="111"/>
      <c r="C3" s="112"/>
      <c r="D3" s="113"/>
      <c r="E3" s="113"/>
      <c r="F3" s="113"/>
      <c r="G3" s="113"/>
      <c r="H3" s="113"/>
      <c r="I3" s="113"/>
      <c r="J3" s="114"/>
      <c r="K3" s="113"/>
      <c r="L3" s="113"/>
    </row>
    <row r="4" spans="2:19" s="52" customFormat="1" ht="27.75" customHeight="1" thickBot="1" x14ac:dyDescent="0.25">
      <c r="B4" s="719" t="s">
        <v>286</v>
      </c>
      <c r="C4" s="720"/>
      <c r="D4" s="720"/>
      <c r="E4" s="720"/>
      <c r="F4" s="720"/>
      <c r="G4" s="720"/>
      <c r="H4" s="720"/>
      <c r="I4" s="720"/>
      <c r="J4" s="720"/>
      <c r="K4" s="720"/>
      <c r="L4" s="721"/>
    </row>
    <row r="5" spans="2:19" s="52" customFormat="1" ht="12.95" customHeight="1" thickBot="1" x14ac:dyDescent="0.25">
      <c r="B5" s="51"/>
      <c r="C5" s="51"/>
      <c r="J5" s="93"/>
    </row>
    <row r="6" spans="2:19" s="52" customFormat="1" ht="36.6" customHeight="1" thickBot="1" x14ac:dyDescent="0.25">
      <c r="B6" s="722" t="s">
        <v>22</v>
      </c>
      <c r="C6" s="723"/>
      <c r="D6" s="723" t="s">
        <v>5</v>
      </c>
      <c r="E6" s="723"/>
      <c r="F6" s="723" t="s">
        <v>23</v>
      </c>
      <c r="G6" s="727"/>
      <c r="H6" s="164"/>
      <c r="I6" s="164"/>
      <c r="J6" s="93"/>
    </row>
    <row r="7" spans="2:19" s="52" customFormat="1" ht="75.75" customHeight="1" x14ac:dyDescent="0.2">
      <c r="B7" s="724" t="s">
        <v>24</v>
      </c>
      <c r="C7" s="725"/>
      <c r="D7" s="726" t="s">
        <v>25</v>
      </c>
      <c r="E7" s="726"/>
      <c r="F7" s="726" t="s">
        <v>26</v>
      </c>
      <c r="G7" s="728"/>
      <c r="H7" s="165"/>
      <c r="I7" s="166">
        <v>1</v>
      </c>
      <c r="J7" s="93"/>
    </row>
    <row r="8" spans="2:19" s="52" customFormat="1" ht="57" customHeight="1" x14ac:dyDescent="0.2">
      <c r="B8" s="717" t="s">
        <v>27</v>
      </c>
      <c r="C8" s="718"/>
      <c r="D8" s="704" t="s">
        <v>28</v>
      </c>
      <c r="E8" s="704"/>
      <c r="F8" s="704" t="s">
        <v>287</v>
      </c>
      <c r="G8" s="705"/>
      <c r="H8" s="167" t="s">
        <v>288</v>
      </c>
      <c r="I8" s="166">
        <v>0.75</v>
      </c>
      <c r="J8" s="93"/>
    </row>
    <row r="9" spans="2:19" s="52" customFormat="1" ht="71.25" customHeight="1" x14ac:dyDescent="0.2">
      <c r="B9" s="698" t="s">
        <v>30</v>
      </c>
      <c r="C9" s="699"/>
      <c r="D9" s="704" t="s">
        <v>289</v>
      </c>
      <c r="E9" s="704"/>
      <c r="F9" s="704" t="s">
        <v>32</v>
      </c>
      <c r="G9" s="705"/>
      <c r="H9" s="168"/>
      <c r="I9" s="166">
        <v>0.5</v>
      </c>
      <c r="J9" s="93"/>
    </row>
    <row r="10" spans="2:19" s="52" customFormat="1" ht="97.5" customHeight="1" thickBot="1" x14ac:dyDescent="0.25">
      <c r="B10" s="729" t="s">
        <v>33</v>
      </c>
      <c r="C10" s="730"/>
      <c r="D10" s="702" t="s">
        <v>290</v>
      </c>
      <c r="E10" s="702"/>
      <c r="F10" s="702" t="s">
        <v>35</v>
      </c>
      <c r="G10" s="703"/>
      <c r="H10" s="168"/>
      <c r="I10" s="166">
        <v>0.25</v>
      </c>
      <c r="J10" s="93"/>
    </row>
    <row r="11" spans="2:19" s="52" customFormat="1" ht="26.25" customHeight="1" x14ac:dyDescent="0.2">
      <c r="B11" s="706" t="s">
        <v>291</v>
      </c>
      <c r="C11" s="706"/>
      <c r="D11" s="706"/>
      <c r="E11" s="706"/>
      <c r="F11" s="706"/>
      <c r="G11" s="706"/>
      <c r="H11" s="706"/>
      <c r="I11" s="706"/>
      <c r="J11" s="94"/>
      <c r="K11" s="53"/>
      <c r="L11" s="53"/>
      <c r="M11" s="53"/>
      <c r="N11" s="53"/>
    </row>
    <row r="12" spans="2:19" s="52" customFormat="1" ht="38.25" customHeight="1" thickBot="1" x14ac:dyDescent="0.25">
      <c r="B12" s="51"/>
      <c r="C12" s="51"/>
      <c r="J12" s="93"/>
    </row>
    <row r="13" spans="2:19" s="52" customFormat="1" ht="42.75" customHeight="1" x14ac:dyDescent="0.2">
      <c r="B13" s="707" t="s">
        <v>292</v>
      </c>
      <c r="C13" s="709" t="s">
        <v>293</v>
      </c>
      <c r="D13" s="710"/>
      <c r="E13" s="710"/>
      <c r="F13" s="711"/>
      <c r="G13" s="712" t="s">
        <v>294</v>
      </c>
      <c r="H13" s="700" t="s">
        <v>295</v>
      </c>
      <c r="I13" s="713" t="s">
        <v>296</v>
      </c>
      <c r="J13" s="93"/>
      <c r="K13" s="696" t="s">
        <v>297</v>
      </c>
      <c r="L13" s="696" t="s">
        <v>298</v>
      </c>
      <c r="M13" s="734" t="s">
        <v>299</v>
      </c>
      <c r="N13" s="731" t="s">
        <v>300</v>
      </c>
      <c r="O13" s="732"/>
      <c r="P13" s="732"/>
      <c r="Q13" s="732"/>
      <c r="R13" s="732"/>
      <c r="S13" s="733"/>
    </row>
    <row r="14" spans="2:19" s="52" customFormat="1" ht="48.75" customHeight="1" thickBot="1" x14ac:dyDescent="0.25">
      <c r="B14" s="708"/>
      <c r="C14" s="160" t="s">
        <v>301</v>
      </c>
      <c r="D14" s="160" t="s">
        <v>50</v>
      </c>
      <c r="E14" s="160" t="s">
        <v>302</v>
      </c>
      <c r="F14" s="161" t="s">
        <v>303</v>
      </c>
      <c r="G14" s="701"/>
      <c r="H14" s="701"/>
      <c r="I14" s="714"/>
      <c r="J14" s="93"/>
      <c r="K14" s="697"/>
      <c r="L14" s="697"/>
      <c r="M14" s="735"/>
      <c r="N14" s="162" t="s">
        <v>304</v>
      </c>
      <c r="O14" s="162" t="s">
        <v>305</v>
      </c>
      <c r="P14" s="162" t="s">
        <v>306</v>
      </c>
      <c r="Q14" s="162" t="s">
        <v>307</v>
      </c>
      <c r="R14" s="162" t="s">
        <v>308</v>
      </c>
      <c r="S14" s="163" t="s">
        <v>309</v>
      </c>
    </row>
    <row r="15" spans="2:19" s="52" customFormat="1" ht="99.75" customHeight="1" x14ac:dyDescent="0.2">
      <c r="B15" s="146">
        <f>+IF(ISTEXT(D15),J15,"")</f>
        <v>1</v>
      </c>
      <c r="C15" s="147" t="str">
        <f>+IFERROR(INDEX(Hoja1!$A$2:$A$82,MATCH(J15,Hoja1!$H$2:$H$82,0)),"")</f>
        <v>1.2</v>
      </c>
      <c r="D15" s="148" t="str">
        <f>IFERROR(VLOOKUP(C15,Hoja1!$A$2:$H$82,4,0),"")</f>
        <v>Ambiente de Control</v>
      </c>
      <c r="E15" s="148" t="str">
        <f>+IFERROR(VLOOKUP(C15,Hoja1!$A$1:$J$82,10,0),"")</f>
        <v>La entidad demuestra el compromiso con la integridad (valores) y principios del servicio público</v>
      </c>
      <c r="F15" s="148" t="str">
        <f>+IFERROR(VLOOKUP(C15,Hoja1!$A$1:$I$82,3,0),"")</f>
        <v xml:space="preserve"> Mecanismos para el manejo de conflictos de interés.</v>
      </c>
      <c r="G15" s="149">
        <f>+IFERROR(VLOOKUP(C15,Hoja1!$A$1:$K$82,11,0),"")</f>
        <v>1</v>
      </c>
      <c r="H15" s="150">
        <f>+IFERROR(VLOOKUP(C15,Hoja1!$A$1:$L$82,12,0),"")</f>
        <v>1</v>
      </c>
      <c r="I15" s="145" t="str">
        <f>+IF(OR(AND(G15=1,H15=1),AND(G15=1,H15=2),AND(G15=1,H15=3),G15="",H15=""),"No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No se encuentra presente  por lo tanto no esta funcionando, lo que hace que se requieran acciones dirigidas a fortalecer su diseño y puesta en marcha</v>
      </c>
      <c r="J15" s="93">
        <v>1</v>
      </c>
      <c r="K15" s="143">
        <f>+VLOOKUP(C15,Hoja1!$A$1:$M$82,13,0)</f>
        <v>0</v>
      </c>
      <c r="L15" s="736">
        <f>+AVERAGE(K15:K38)</f>
        <v>0.58333333333333337</v>
      </c>
      <c r="M15" s="115"/>
      <c r="N15" s="116"/>
      <c r="O15" s="116"/>
      <c r="P15" s="116"/>
      <c r="Q15" s="116"/>
      <c r="R15" s="116"/>
      <c r="S15" s="116"/>
    </row>
    <row r="16" spans="2:19" s="52" customFormat="1" ht="99.75" customHeight="1" x14ac:dyDescent="0.2">
      <c r="B16" s="151">
        <f t="shared" ref="B16:B79" si="0">+IF(ISTEXT(D16),J16,"")</f>
        <v>2</v>
      </c>
      <c r="C16" s="152" t="str">
        <f>+IFERROR(INDEX(Hoja1!$A$2:$A$82,MATCH(J16,Hoja1!$H$2:$H$82,0)),"")</f>
        <v>1.3</v>
      </c>
      <c r="D16" s="153" t="str">
        <f>IFERROR(VLOOKUP(C16,Hoja1!$A$2:$H$82,4,0),"")</f>
        <v>Ambiente de Control</v>
      </c>
      <c r="E16" s="153" t="str">
        <f>+IFERROR(VLOOKUP(C16,Hoja1!$A$1:$J$82,10,0),"")</f>
        <v>La entidad demuestra el compromiso con la integridad (valores) y principios del servicio público</v>
      </c>
      <c r="F16" s="153" t="str">
        <f>+IFERROR(VLOOKUP(C16,Hoja1!$A$1:$I$82,3,0),"")</f>
        <v xml:space="preserve"> Mecanismos frente a la detección y prevención del uso inadecuado de información privilegiada u otras situaciones que puedan implicar riesgos para la entidad</v>
      </c>
      <c r="G16" s="152">
        <f>+IFERROR(VLOOKUP(C16,Hoja1!$A$1:$K$82,11,0),"")</f>
        <v>1</v>
      </c>
      <c r="H16" s="154">
        <f>+IFERROR(VLOOKUP(C16,Hoja1!$A$1:$L$82,12,0),"")</f>
        <v>1</v>
      </c>
      <c r="I16" s="145" t="str">
        <f t="shared" ref="I16:I79" si="1">+IF(OR(AND(G16=1,H16=1),AND(G16=1,H16=2),AND(G16=1,H16=3),G16="",H16=""),"No se encuentra presente  por lo tanto no esta funcionando, lo que hace que se requieran acciones dirigidas a fortalecer su diseño y puesta en marcha",IF(OR(AND(G16=2,H16=2),AND(G16=3,H16=1),AND(G16=3,H16=2),AND(G16=2,H16=1)),"Se encuentra presente y funcionando, pero requiere acciones dirigidas a fortalecer  o mejorar su diseño y/o ejecucion.",IF(AND(G16=2,H16=3),"Se encuentra presente  y funcionando, pero requiere mejoras frente a su diseño, ya que  opera de manera efectiva","Se encuentra presente y funciona correctamente, por lo tanto se requiere acciones o actividades  dirigidas a su mantenimiento dentro del marco de las lineas de defensa.")))</f>
        <v>No se encuentra presente  por lo tanto no esta funcionando, lo que hace que se requieran acciones dirigidas a fortalecer su diseño y puesta en marcha</v>
      </c>
      <c r="J16" s="93">
        <v>2</v>
      </c>
      <c r="K16" s="143">
        <f>+VLOOKUP(C16,Hoja1!$A$1:$M$82,13,0)</f>
        <v>0</v>
      </c>
      <c r="L16" s="715"/>
      <c r="M16" s="89"/>
      <c r="N16" s="62"/>
      <c r="O16" s="62"/>
      <c r="P16" s="62"/>
      <c r="Q16" s="62"/>
      <c r="R16" s="62"/>
      <c r="S16" s="62"/>
    </row>
    <row r="17" spans="2:19" s="52" customFormat="1" ht="99.75" customHeight="1" x14ac:dyDescent="0.2">
      <c r="B17" s="151">
        <f t="shared" si="0"/>
        <v>3</v>
      </c>
      <c r="C17" s="152" t="str">
        <f>+IFERROR(INDEX(Hoja1!$A$2:$A$82,MATCH(J17,Hoja1!$H$2:$H$82,0)),"")</f>
        <v>4.7</v>
      </c>
      <c r="D17" s="153" t="str">
        <f>IFERROR(VLOOKUP(C17,Hoja1!$A$2:$H$82,4,0),"")</f>
        <v>Ambiente de Control</v>
      </c>
      <c r="E17" s="153" t="str">
        <f>+IFERROR(VLOOKUP(C17,Hoja1!$A$1:$J$82,10,0),"")</f>
        <v>Compromiso con la competencia de todo el personal, por lo que la gestión del talento humano tiene un carácter estratégico con el despliegue de actividades clave para todo el ciclo de vida del servidor público –ingreso, permanencia y retiro.</v>
      </c>
      <c r="F17" s="153" t="str">
        <f>+IFERROR(VLOOKUP(C17,Hoja1!$A$1:$I$82,3,0),"")</f>
        <v xml:space="preserve"> Evaluación frente a los productos y servicios en los cuales participan los contratistas de apoyo</v>
      </c>
      <c r="G17" s="152">
        <f>+IFERROR(VLOOKUP(C17,Hoja1!$A$1:$K$82,11,0),"")</f>
        <v>1</v>
      </c>
      <c r="H17" s="154">
        <f>+IFERROR(VLOOKUP(C17,Hoja1!$A$1:$L$82,12,0),"")</f>
        <v>1</v>
      </c>
      <c r="I17" s="145" t="str">
        <f t="shared" si="1"/>
        <v>No se encuentra presente  por lo tanto no esta funcionando, lo que hace que se requieran acciones dirigidas a fortalecer su diseño y puesta en marcha</v>
      </c>
      <c r="J17" s="93">
        <v>3</v>
      </c>
      <c r="K17" s="143">
        <f>+VLOOKUP(C17,Hoja1!$A$1:$M$82,13,0)</f>
        <v>0</v>
      </c>
      <c r="L17" s="715"/>
      <c r="M17" s="89"/>
      <c r="N17" s="62"/>
      <c r="O17" s="62"/>
      <c r="P17" s="62"/>
      <c r="Q17" s="62"/>
      <c r="R17" s="62"/>
      <c r="S17" s="62"/>
    </row>
    <row r="18" spans="2:19" s="52" customFormat="1" ht="99.75" customHeight="1" x14ac:dyDescent="0.2">
      <c r="B18" s="155">
        <f t="shared" si="0"/>
        <v>4</v>
      </c>
      <c r="C18" s="152" t="str">
        <f>+IFERROR(INDEX(Hoja1!$A$2:$A$82,MATCH(J18,Hoja1!$H$2:$H$82,0)),"")</f>
        <v>1.1</v>
      </c>
      <c r="D18" s="153" t="str">
        <f>IFERROR(VLOOKUP(C18,Hoja1!$A$2:$H$82,4,0),"")</f>
        <v>Ambiente de Control</v>
      </c>
      <c r="E18" s="153" t="str">
        <f>+IFERROR(VLOOKUP(C18,Hoja1!$A$1:$J$82,10,0),"")</f>
        <v>La entidad demuestra el compromiso con la integridad (valores) y principios del servicio público</v>
      </c>
      <c r="F18" s="153" t="str">
        <f>+IFERROR(VLOOKUP(C18,Hoja1!$A$1:$I$82,3,0),"")</f>
        <v xml:space="preserve"> Aplicación del Código de Integridad. (incluye análisis de desviaciones, convivencia laboral, temas disciplinarios internos, quejas o denuncias sobres los servidores de la entidad, u otros temas relacionados)</v>
      </c>
      <c r="G18" s="152">
        <f>+IFERROR(VLOOKUP(C18,Hoja1!$A$1:$K$82,11,0),"")</f>
        <v>2</v>
      </c>
      <c r="H18" s="154">
        <f>+IFERROR(VLOOKUP(C18,Hoja1!$A$1:$L$82,12,0),"")</f>
        <v>2</v>
      </c>
      <c r="I18" s="145" t="str">
        <f t="shared" si="1"/>
        <v>Se encuentra presente y funcionando, pero requiere acciones dirigidas a fortalecer  o mejorar su diseño y/o ejecucion.</v>
      </c>
      <c r="J18" s="93">
        <v>4</v>
      </c>
      <c r="K18" s="143">
        <f>+VLOOKUP(C18,Hoja1!$A$1:$M$82,13,0)</f>
        <v>0.5</v>
      </c>
      <c r="L18" s="715"/>
      <c r="M18" s="89"/>
      <c r="N18" s="62"/>
      <c r="O18" s="62"/>
      <c r="P18" s="62"/>
      <c r="Q18" s="62"/>
      <c r="R18" s="62"/>
      <c r="S18" s="62"/>
    </row>
    <row r="19" spans="2:19" s="52" customFormat="1" ht="99.75" customHeight="1" x14ac:dyDescent="0.2">
      <c r="B19" s="151">
        <f t="shared" si="0"/>
        <v>5</v>
      </c>
      <c r="C19" s="152" t="str">
        <f>+IFERROR(INDEX(Hoja1!$A$2:$A$82,MATCH(J19,Hoja1!$H$2:$H$82,0)),"")</f>
        <v>1.4</v>
      </c>
      <c r="D19" s="153" t="str">
        <f>IFERROR(VLOOKUP(C19,Hoja1!$A$2:$H$82,4,0),"")</f>
        <v>Ambiente de Control</v>
      </c>
      <c r="E19" s="153" t="str">
        <f>+IFERROR(VLOOKUP(C19,Hoja1!$A$1:$J$82,10,0),"")</f>
        <v>La entidad demuestra el compromiso con la integridad (valores) y principios del servicio público</v>
      </c>
      <c r="F19" s="153" t="str">
        <f>+IFERROR(VLOOKUP(C19,Hoja1!$A$1:$I$82,3,0),"")</f>
        <v xml:space="preserve"> La evaluación de las acciones transversales de integridad, mediante el monitoreo permanente de los riesgos de corrupción.</v>
      </c>
      <c r="G19" s="152">
        <f>+IFERROR(VLOOKUP(C19,Hoja1!$A$1:$K$82,11,0),"")</f>
        <v>3</v>
      </c>
      <c r="H19" s="154">
        <f>+IFERROR(VLOOKUP(C19,Hoja1!$A$1:$L$82,12,0),"")</f>
        <v>2</v>
      </c>
      <c r="I19" s="145" t="str">
        <f t="shared" si="1"/>
        <v>Se encuentra presente y funcionando, pero requiere acciones dirigidas a fortalecer  o mejorar su diseño y/o ejecucion.</v>
      </c>
      <c r="J19" s="93">
        <v>5</v>
      </c>
      <c r="K19" s="143">
        <f>+VLOOKUP(C19,Hoja1!$A$1:$M$82,13,0)</f>
        <v>0.5</v>
      </c>
      <c r="L19" s="715"/>
      <c r="M19" s="89"/>
      <c r="N19" s="62"/>
      <c r="O19" s="62"/>
      <c r="P19" s="62"/>
      <c r="Q19" s="62"/>
      <c r="R19" s="62"/>
      <c r="S19" s="62"/>
    </row>
    <row r="20" spans="2:19" s="52" customFormat="1" ht="99.75" customHeight="1" x14ac:dyDescent="0.2">
      <c r="B20" s="155">
        <f t="shared" si="0"/>
        <v>6</v>
      </c>
      <c r="C20" s="152" t="str">
        <f>+IFERROR(INDEX(Hoja1!$A$2:$A$82,MATCH(J20,Hoja1!$H$2:$H$82,0)),"")</f>
        <v>3.1</v>
      </c>
      <c r="D20" s="153" t="str">
        <f>IFERROR(VLOOKUP(C20,Hoja1!$A$2:$H$82,4,0),"")</f>
        <v>Ambiente de Control</v>
      </c>
      <c r="E20" s="153" t="str">
        <f>+IFERROR(VLOOKUP(C20,Hoja1!$A$1:$J$82,10,0),"")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0" s="153" t="str">
        <f>+IFERROR(VLOOKUP(C20,Hoja1!$A$1:$I$82,3,0),"")</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G20" s="152">
        <f>+IFERROR(VLOOKUP(C20,Hoja1!$A$1:$K$82,11,0),"")</f>
        <v>3</v>
      </c>
      <c r="H20" s="154">
        <f>+IFERROR(VLOOKUP(C20,Hoja1!$A$1:$L$82,12,0),"")</f>
        <v>2</v>
      </c>
      <c r="I20" s="145" t="str">
        <f t="shared" si="1"/>
        <v>Se encuentra presente y funcionando, pero requiere acciones dirigidas a fortalecer  o mejorar su diseño y/o ejecucion.</v>
      </c>
      <c r="J20" s="93">
        <v>6</v>
      </c>
      <c r="K20" s="143">
        <f>+VLOOKUP(C20,Hoja1!$A$1:$M$82,13,0)</f>
        <v>0.5</v>
      </c>
      <c r="L20" s="715"/>
      <c r="M20" s="89"/>
      <c r="N20" s="62"/>
      <c r="O20" s="62"/>
      <c r="P20" s="62"/>
      <c r="Q20" s="62"/>
      <c r="R20" s="62"/>
      <c r="S20" s="62"/>
    </row>
    <row r="21" spans="2:19" s="52" customFormat="1" ht="99.75" customHeight="1" x14ac:dyDescent="0.2">
      <c r="B21" s="151">
        <f t="shared" si="0"/>
        <v>7</v>
      </c>
      <c r="C21" s="152" t="str">
        <f>+IFERROR(INDEX(Hoja1!$A$2:$A$82,MATCH(J21,Hoja1!$H$2:$H$82,0)),"")</f>
        <v>3.3</v>
      </c>
      <c r="D21" s="153" t="str">
        <f>IFERROR(VLOOKUP(C21,Hoja1!$A$2:$H$82,4,0),"")</f>
        <v>Ambiente de Control</v>
      </c>
      <c r="E21" s="153" t="str">
        <f>+IFERROR(VLOOKUP(C21,Hoja1!$A$1:$J$82,10,0),"")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1" s="153" t="str">
        <f>+IFERROR(VLOOKUP(C21,Hoja1!$A$1:$I$82,3,0),"")</f>
        <v xml:space="preserve"> Evaluación de la planeación estratégica, considerando alertas frente a posibles incumplimientos, necesidades de recursos, cambios en el entorno que puedan afectar su desarrollo, entre otros aspectos que garanticen de forma razonable su cumplimiento</v>
      </c>
      <c r="G21" s="152">
        <f>+IFERROR(VLOOKUP(C21,Hoja1!$A$1:$K$82,11,0),"")</f>
        <v>3</v>
      </c>
      <c r="H21" s="154">
        <f>+IFERROR(VLOOKUP(C21,Hoja1!$A$1:$L$82,12,0),"")</f>
        <v>1</v>
      </c>
      <c r="I21" s="145" t="str">
        <f t="shared" si="1"/>
        <v>Se encuentra presente y funcionando, pero requiere acciones dirigidas a fortalecer  o mejorar su diseño y/o ejecucion.</v>
      </c>
      <c r="J21" s="93">
        <v>7</v>
      </c>
      <c r="K21" s="143">
        <f>+VLOOKUP(C21,Hoja1!$A$1:$M$82,13,0)</f>
        <v>0.5</v>
      </c>
      <c r="L21" s="715"/>
      <c r="M21" s="89"/>
      <c r="N21" s="62"/>
      <c r="O21" s="62"/>
      <c r="P21" s="62"/>
      <c r="Q21" s="62"/>
      <c r="R21" s="62"/>
      <c r="S21" s="62"/>
    </row>
    <row r="22" spans="2:19" s="52" customFormat="1" ht="99.75" customHeight="1" x14ac:dyDescent="0.2">
      <c r="B22" s="151">
        <f t="shared" si="0"/>
        <v>8</v>
      </c>
      <c r="C22" s="152" t="str">
        <f>+IFERROR(INDEX(Hoja1!$A$2:$A$82,MATCH(J22,Hoja1!$H$2:$H$82,0)),"")</f>
        <v>4.2</v>
      </c>
      <c r="D22" s="153" t="str">
        <f>IFERROR(VLOOKUP(C22,Hoja1!$A$2:$H$82,4,0),"")</f>
        <v>Ambiente de Control</v>
      </c>
      <c r="E22" s="153" t="str">
        <f>+IFERROR(VLOOKUP(C22,Hoja1!$A$1:$J$82,10,0),"")</f>
        <v>Compromiso con la competencia de todo el personal, por lo que la gestión del talento humano tiene un carácter estratégico con el despliegue de actividades clave para todo el ciclo de vida del servidor público –ingreso, permanencia y retiro.</v>
      </c>
      <c r="F22" s="153" t="str">
        <f>+IFERROR(VLOOKUP(C22,Hoja1!$A$1:$I$82,3,0),"")</f>
        <v xml:space="preserve"> Evaluación de las actividades relacionadas con el Ingreso del personal</v>
      </c>
      <c r="G22" s="152">
        <f>+IFERROR(VLOOKUP(C22,Hoja1!$A$1:$K$82,11,0),"")</f>
        <v>2</v>
      </c>
      <c r="H22" s="154">
        <f>+IFERROR(VLOOKUP(C22,Hoja1!$A$1:$L$82,12,0),"")</f>
        <v>2</v>
      </c>
      <c r="I22" s="145" t="str">
        <f t="shared" si="1"/>
        <v>Se encuentra presente y funcionando, pero requiere acciones dirigidas a fortalecer  o mejorar su diseño y/o ejecucion.</v>
      </c>
      <c r="J22" s="93">
        <v>8</v>
      </c>
      <c r="K22" s="143">
        <f>+VLOOKUP(C22,Hoja1!$A$1:$M$82,13,0)</f>
        <v>0.5</v>
      </c>
      <c r="L22" s="715"/>
      <c r="M22" s="89"/>
      <c r="N22" s="62"/>
      <c r="O22" s="62"/>
      <c r="P22" s="62"/>
      <c r="Q22" s="62"/>
      <c r="R22" s="62"/>
      <c r="S22" s="62"/>
    </row>
    <row r="23" spans="2:19" s="52" customFormat="1" ht="99.75" customHeight="1" x14ac:dyDescent="0.2">
      <c r="B23" s="151">
        <f t="shared" si="0"/>
        <v>9</v>
      </c>
      <c r="C23" s="152" t="str">
        <f>+IFERROR(INDEX(Hoja1!$A$2:$A$82,MATCH(J23,Hoja1!$H$2:$H$82,0)),"")</f>
        <v>4.3</v>
      </c>
      <c r="D23" s="153" t="str">
        <f>IFERROR(VLOOKUP(C23,Hoja1!$A$2:$H$82,4,0),"")</f>
        <v>Ambiente de Control</v>
      </c>
      <c r="E23" s="153" t="str">
        <f>+IFERROR(VLOOKUP(C23,Hoja1!$A$1:$J$82,10,0),"")</f>
        <v>Compromiso con la competencia de todo el personal, por lo que la gestión del talento humano tiene un carácter estratégico con el despliegue de actividades clave para todo el ciclo de vida del servidor público –ingreso, permanencia y retiro.</v>
      </c>
      <c r="F23" s="153" t="str">
        <f>+IFERROR(VLOOKUP(C23,Hoja1!$A$1:$I$82,3,0),"")</f>
        <v xml:space="preserve"> Evaluación de las actividades relacionadas con la permanencia del personal</v>
      </c>
      <c r="G23" s="152">
        <f>+IFERROR(VLOOKUP(C23,Hoja1!$A$1:$K$82,11,0),"")</f>
        <v>3</v>
      </c>
      <c r="H23" s="154">
        <f>+IFERROR(VLOOKUP(C23,Hoja1!$A$1:$L$82,12,0),"")</f>
        <v>2</v>
      </c>
      <c r="I23" s="145" t="str">
        <f t="shared" si="1"/>
        <v>Se encuentra presente y funcionando, pero requiere acciones dirigidas a fortalecer  o mejorar su diseño y/o ejecucion.</v>
      </c>
      <c r="J23" s="93">
        <v>9</v>
      </c>
      <c r="K23" s="143">
        <f>+VLOOKUP(C23,Hoja1!$A$1:$M$82,13,0)</f>
        <v>0.5</v>
      </c>
      <c r="L23" s="715"/>
      <c r="M23" s="89"/>
      <c r="N23" s="62"/>
      <c r="O23" s="62"/>
      <c r="P23" s="62"/>
      <c r="Q23" s="62"/>
      <c r="R23" s="62"/>
      <c r="S23" s="62"/>
    </row>
    <row r="24" spans="2:19" s="52" customFormat="1" ht="99.75" customHeight="1" x14ac:dyDescent="0.2">
      <c r="B24" s="155">
        <f t="shared" si="0"/>
        <v>10</v>
      </c>
      <c r="C24" s="152" t="str">
        <f>+IFERROR(INDEX(Hoja1!$A$2:$A$82,MATCH(J24,Hoja1!$H$2:$H$82,0)),"")</f>
        <v>4.4</v>
      </c>
      <c r="D24" s="153" t="str">
        <f>IFERROR(VLOOKUP(C24,Hoja1!$A$2:$H$82,4,0),"")</f>
        <v>Ambiente de Control</v>
      </c>
      <c r="E24" s="153" t="str">
        <f>+IFERROR(VLOOKUP(C24,Hoja1!$A$1:$J$82,10,0),"")</f>
        <v>Compromiso con la competencia de todo el personal, por lo que la gestión del talento humano tiene un carácter estratégico con el despliegue de actividades clave para todo el ciclo de vida del servidor público –ingreso, permanencia y retiro.</v>
      </c>
      <c r="F24" s="153" t="str">
        <f>+IFERROR(VLOOKUP(C24,Hoja1!$A$1:$I$82,3,0),"")</f>
        <v>Analizar si se cuenta con políticas claras y comunicadas relacionadas con la responsabilidad de cada servidor sobre el desarrollo y mantenimiento del control interno (1a línea de defensa</v>
      </c>
      <c r="G24" s="152">
        <f>+IFERROR(VLOOKUP(C24,Hoja1!$A$1:$K$82,11,0),"")</f>
        <v>3</v>
      </c>
      <c r="H24" s="154">
        <f>+IFERROR(VLOOKUP(C24,Hoja1!$A$1:$L$82,12,0),"")</f>
        <v>2</v>
      </c>
      <c r="I24" s="145" t="str">
        <f t="shared" si="1"/>
        <v>Se encuentra presente y funcionando, pero requiere acciones dirigidas a fortalecer  o mejorar su diseño y/o ejecucion.</v>
      </c>
      <c r="J24" s="93">
        <v>10</v>
      </c>
      <c r="K24" s="143">
        <f>+VLOOKUP(C24,Hoja1!$A$1:$M$82,13,0)</f>
        <v>0.5</v>
      </c>
      <c r="L24" s="715"/>
      <c r="M24" s="89"/>
      <c r="N24" s="62"/>
      <c r="O24" s="62"/>
      <c r="P24" s="62"/>
      <c r="Q24" s="62"/>
      <c r="R24" s="62"/>
      <c r="S24" s="62"/>
    </row>
    <row r="25" spans="2:19" s="52" customFormat="1" ht="99.75" customHeight="1" x14ac:dyDescent="0.2">
      <c r="B25" s="151">
        <f t="shared" si="0"/>
        <v>11</v>
      </c>
      <c r="C25" s="152" t="str">
        <f>+IFERROR(INDEX(Hoja1!$A$2:$A$82,MATCH(J25,Hoja1!$H$2:$H$82,0)),"")</f>
        <v>4.5</v>
      </c>
      <c r="D25" s="153" t="str">
        <f>IFERROR(VLOOKUP(C25,Hoja1!$A$2:$H$82,4,0),"")</f>
        <v>Ambiente de Control</v>
      </c>
      <c r="E25" s="153" t="str">
        <f>+IFERROR(VLOOKUP(C25,Hoja1!$A$1:$J$82,10,0),"")</f>
        <v>Compromiso con la competencia de todo el personal, por lo que la gestión del talento humano tiene un carácter estratégico con el despliegue de actividades clave para todo el ciclo de vida del servidor público –ingreso, permanencia y retiro.</v>
      </c>
      <c r="F25" s="153" t="str">
        <f>+IFERROR(VLOOKUP(C25,Hoja1!$A$1:$I$82,3,0),"")</f>
        <v xml:space="preserve"> Evaluación de las actividades relacionadas con el retiro del personal</v>
      </c>
      <c r="G25" s="152">
        <f>+IFERROR(VLOOKUP(C25,Hoja1!$A$1:$K$82,11,0),"")</f>
        <v>2</v>
      </c>
      <c r="H25" s="154">
        <f>+IFERROR(VLOOKUP(C25,Hoja1!$A$1:$L$82,12,0),"")</f>
        <v>2</v>
      </c>
      <c r="I25" s="145" t="str">
        <f t="shared" si="1"/>
        <v>Se encuentra presente y funcionando, pero requiere acciones dirigidas a fortalecer  o mejorar su diseño y/o ejecucion.</v>
      </c>
      <c r="J25" s="93">
        <v>11</v>
      </c>
      <c r="K25" s="143">
        <f>+VLOOKUP(C25,Hoja1!$A$1:$M$82,13,0)</f>
        <v>0.5</v>
      </c>
      <c r="L25" s="715"/>
      <c r="M25" s="89"/>
      <c r="N25" s="62"/>
      <c r="O25" s="62"/>
      <c r="P25" s="62"/>
      <c r="Q25" s="62"/>
      <c r="R25" s="62"/>
      <c r="S25" s="62"/>
    </row>
    <row r="26" spans="2:19" s="52" customFormat="1" ht="99.75" customHeight="1" x14ac:dyDescent="0.2">
      <c r="B26" s="155">
        <f t="shared" si="0"/>
        <v>12</v>
      </c>
      <c r="C26" s="152" t="str">
        <f>+IFERROR(INDEX(Hoja1!$A$2:$A$82,MATCH(J26,Hoja1!$H$2:$H$82,0)),"")</f>
        <v>4.6</v>
      </c>
      <c r="D26" s="153" t="str">
        <f>IFERROR(VLOOKUP(C26,Hoja1!$A$2:$H$82,4,0),"")</f>
        <v>Ambiente de Control</v>
      </c>
      <c r="E26" s="153" t="str">
        <f>+IFERROR(VLOOKUP(C26,Hoja1!$A$1:$J$82,10,0),"")</f>
        <v>Compromiso con la competencia de todo el personal, por lo que la gestión del talento humano tiene un carácter estratégico con el despliegue de actividades clave para todo el ciclo de vida del servidor público –ingreso, permanencia y retiro.</v>
      </c>
      <c r="F26" s="153" t="str">
        <f>+IFERROR(VLOOKUP(C26,Hoja1!$A$1:$I$82,3,0),"")</f>
        <v xml:space="preserve"> Evaluar el impacto del Plan Institucional de Capacitación - PI</v>
      </c>
      <c r="G26" s="152">
        <f>+IFERROR(VLOOKUP(C26,Hoja1!$A$1:$K$82,11,0),"")</f>
        <v>2</v>
      </c>
      <c r="H26" s="154">
        <f>+IFERROR(VLOOKUP(C26,Hoja1!$A$1:$L$82,12,0),"")</f>
        <v>2</v>
      </c>
      <c r="I26" s="145" t="str">
        <f t="shared" si="1"/>
        <v>Se encuentra presente y funcionando, pero requiere acciones dirigidas a fortalecer  o mejorar su diseño y/o ejecucion.</v>
      </c>
      <c r="J26" s="93">
        <v>12</v>
      </c>
      <c r="K26" s="143">
        <f>+VLOOKUP(C26,Hoja1!$A$1:$M$82,13,0)</f>
        <v>0.5</v>
      </c>
      <c r="L26" s="715"/>
      <c r="M26" s="89"/>
      <c r="N26" s="62"/>
      <c r="O26" s="62"/>
      <c r="P26" s="62"/>
      <c r="Q26" s="62"/>
      <c r="R26" s="62"/>
      <c r="S26" s="62"/>
    </row>
    <row r="27" spans="2:19" s="52" customFormat="1" ht="99.75" customHeight="1" x14ac:dyDescent="0.2">
      <c r="B27" s="151">
        <f t="shared" si="0"/>
        <v>13</v>
      </c>
      <c r="C27" s="152" t="str">
        <f>+IFERROR(INDEX(Hoja1!$A$2:$A$82,MATCH(J27,Hoja1!$H$2:$H$82,0)),"")</f>
        <v>5.1</v>
      </c>
      <c r="D27" s="153" t="str">
        <f>IFERROR(VLOOKUP(C27,Hoja1!$A$2:$H$82,4,0),"")</f>
        <v>Ambiente de Control</v>
      </c>
      <c r="E27" s="153" t="str">
        <f>+IFERROR(VLOOKUP(C27,Hoja1!$A$1:$J$82,10,0),"")</f>
        <v>La entidad establece líneas de reporte dentro de la entidad para evaluar el funcionamiento del Sistema de Control Interno.</v>
      </c>
      <c r="F27" s="153" t="str">
        <f>+IFERROR(VLOOKUP(C27,Hoja1!$A$1:$I$82,3,0),"")</f>
        <v xml:space="preserve"> Acorde con la estructura del Esquema de Líneas de Defensa se han definido estándares de reporte, periodicidad y responsables frente a diferentes temas críticos de la entidad</v>
      </c>
      <c r="G27" s="152">
        <f>+IFERROR(VLOOKUP(C27,Hoja1!$A$1:$K$82,11,0),"")</f>
        <v>3</v>
      </c>
      <c r="H27" s="154">
        <f>+IFERROR(VLOOKUP(C27,Hoja1!$A$1:$L$82,12,0),"")</f>
        <v>2</v>
      </c>
      <c r="I27" s="145" t="str">
        <f t="shared" si="1"/>
        <v>Se encuentra presente y funcionando, pero requiere acciones dirigidas a fortalecer  o mejorar su diseño y/o ejecucion.</v>
      </c>
      <c r="J27" s="93">
        <v>13</v>
      </c>
      <c r="K27" s="143">
        <f>+VLOOKUP(C27,Hoja1!$A$1:$M$82,13,0)</f>
        <v>0.5</v>
      </c>
      <c r="L27" s="715"/>
      <c r="M27" s="89"/>
      <c r="N27" s="62"/>
      <c r="O27" s="62"/>
      <c r="P27" s="62"/>
      <c r="Q27" s="62"/>
      <c r="R27" s="62"/>
      <c r="S27" s="62"/>
    </row>
    <row r="28" spans="2:19" s="52" customFormat="1" ht="99.75" customHeight="1" x14ac:dyDescent="0.2">
      <c r="B28" s="151">
        <f t="shared" si="0"/>
        <v>14</v>
      </c>
      <c r="C28" s="152" t="str">
        <f>+IFERROR(INDEX(Hoja1!$A$2:$A$82,MATCH(J28,Hoja1!$H$2:$H$82,0)),"")</f>
        <v>5.2</v>
      </c>
      <c r="D28" s="153" t="str">
        <f>IFERROR(VLOOKUP(C28,Hoja1!$A$2:$H$82,4,0),"")</f>
        <v>Ambiente de Control</v>
      </c>
      <c r="E28" s="153" t="str">
        <f>+IFERROR(VLOOKUP(C28,Hoja1!$A$1:$J$82,10,0),"")</f>
        <v>La entidad establece líneas de reporte dentro de la entidad para evaluar el funcionamiento del Sistema de Control Interno.</v>
      </c>
      <c r="F28" s="153" t="str">
        <f>+IFERROR(VLOOKUP(C28,Hoja1!$A$1:$I$82,3,0),"")</f>
        <v xml:space="preserve"> La Alta Dirección analiza la información asociada con la generación de reportes financieros</v>
      </c>
      <c r="G28" s="152">
        <f>+IFERROR(VLOOKUP(C28,Hoja1!$A$1:$K$82,11,0),"")</f>
        <v>3</v>
      </c>
      <c r="H28" s="154">
        <f>+IFERROR(VLOOKUP(C28,Hoja1!$A$1:$L$82,12,0),"")</f>
        <v>2</v>
      </c>
      <c r="I28" s="145" t="str">
        <f t="shared" si="1"/>
        <v>Se encuentra presente y funcionando, pero requiere acciones dirigidas a fortalecer  o mejorar su diseño y/o ejecucion.</v>
      </c>
      <c r="J28" s="93">
        <v>14</v>
      </c>
      <c r="K28" s="143">
        <f>+VLOOKUP(C28,Hoja1!$A$1:$M$82,13,0)</f>
        <v>0.5</v>
      </c>
      <c r="L28" s="715"/>
      <c r="M28" s="89"/>
      <c r="N28" s="62"/>
      <c r="O28" s="62"/>
      <c r="P28" s="62"/>
      <c r="Q28" s="62"/>
      <c r="R28" s="62"/>
      <c r="S28" s="62"/>
    </row>
    <row r="29" spans="2:19" s="52" customFormat="1" ht="99.75" customHeight="1" x14ac:dyDescent="0.2">
      <c r="B29" s="151">
        <f t="shared" si="0"/>
        <v>15</v>
      </c>
      <c r="C29" s="152" t="str">
        <f>+IFERROR(INDEX(Hoja1!$A$2:$A$82,MATCH(J29,Hoja1!$H$2:$H$82,0)),"")</f>
        <v>5.3</v>
      </c>
      <c r="D29" s="153" t="str">
        <f>IFERROR(VLOOKUP(C29,Hoja1!$A$2:$H$82,4,0),"")</f>
        <v>Ambiente de Control</v>
      </c>
      <c r="E29" s="153" t="str">
        <f>+IFERROR(VLOOKUP(C29,Hoja1!$A$1:$J$82,10,0),"")</f>
        <v>La entidad establece líneas de reporte dentro de la entidad para evaluar el funcionamiento del Sistema de Control Interno.</v>
      </c>
      <c r="F29" s="153" t="str">
        <f>+IFERROR(VLOOKUP(C29,Hoja1!$A$1:$I$82,3,0),"")</f>
        <v xml:space="preserve"> Teniendo en cuenta la información suministrada por la 2a y 3a línea de defensa se toman decisiones a tiempo para garantizar el cumplimiento de las metas y objetivos</v>
      </c>
      <c r="G29" s="152">
        <f>+IFERROR(VLOOKUP(C29,Hoja1!$A$1:$K$82,11,0),"")</f>
        <v>3</v>
      </c>
      <c r="H29" s="154">
        <f>+IFERROR(VLOOKUP(C29,Hoja1!$A$1:$L$82,12,0),"")</f>
        <v>2</v>
      </c>
      <c r="I29" s="145" t="str">
        <f t="shared" si="1"/>
        <v>Se encuentra presente y funcionando, pero requiere acciones dirigidas a fortalecer  o mejorar su diseño y/o ejecucion.</v>
      </c>
      <c r="J29" s="93">
        <v>15</v>
      </c>
      <c r="K29" s="143">
        <f>+VLOOKUP(C29,Hoja1!$A$1:$M$82,13,0)</f>
        <v>0.5</v>
      </c>
      <c r="L29" s="715"/>
      <c r="M29" s="89"/>
      <c r="N29" s="62"/>
      <c r="O29" s="62"/>
      <c r="P29" s="62"/>
      <c r="Q29" s="62"/>
      <c r="R29" s="62"/>
      <c r="S29" s="62"/>
    </row>
    <row r="30" spans="2:19" s="52" customFormat="1" ht="99.75" customHeight="1" x14ac:dyDescent="0.2">
      <c r="B30" s="155">
        <f t="shared" si="0"/>
        <v>16</v>
      </c>
      <c r="C30" s="152" t="str">
        <f>+IFERROR(INDEX(Hoja1!$A$2:$A$82,MATCH(J30,Hoja1!$H$2:$H$82,0)),"")</f>
        <v>5.4</v>
      </c>
      <c r="D30" s="153" t="str">
        <f>IFERROR(VLOOKUP(C30,Hoja1!$A$2:$H$82,4,0),"")</f>
        <v>Ambiente de Control</v>
      </c>
      <c r="E30" s="153" t="str">
        <f>+IFERROR(VLOOKUP(C30,Hoja1!$A$1:$J$82,10,0),"")</f>
        <v>La entidad establece líneas de reporte dentro de la entidad para evaluar el funcionamiento del Sistema de Control Interno.</v>
      </c>
      <c r="F30" s="153" t="str">
        <f>+IFERROR(VLOOKUP(C30,Hoja1!$A$1:$I$82,3,0),"")</f>
        <v xml:space="preserve"> Se evalúa la estructura de control a partir de los cambios en procesos, procedimientos, u otras herramientas, a fin de garantizar su adecuada formulación y afectación frente a la gestión del riesgo</v>
      </c>
      <c r="G30" s="152">
        <f>+IFERROR(VLOOKUP(C30,Hoja1!$A$1:$K$82,11,0),"")</f>
        <v>3</v>
      </c>
      <c r="H30" s="154">
        <f>+IFERROR(VLOOKUP(C30,Hoja1!$A$1:$L$82,12,0),"")</f>
        <v>2</v>
      </c>
      <c r="I30" s="145" t="str">
        <f t="shared" si="1"/>
        <v>Se encuentra presente y funcionando, pero requiere acciones dirigidas a fortalecer  o mejorar su diseño y/o ejecucion.</v>
      </c>
      <c r="J30" s="93">
        <v>16</v>
      </c>
      <c r="K30" s="143">
        <f>+VLOOKUP(C30,Hoja1!$A$1:$M$82,13,0)</f>
        <v>0.5</v>
      </c>
      <c r="L30" s="715"/>
      <c r="M30" s="89"/>
      <c r="N30" s="62"/>
      <c r="O30" s="62"/>
      <c r="P30" s="62"/>
      <c r="Q30" s="62"/>
      <c r="R30" s="62"/>
      <c r="S30" s="62"/>
    </row>
    <row r="31" spans="2:19" s="52" customFormat="1" ht="99.75" customHeight="1" x14ac:dyDescent="0.2">
      <c r="B31" s="151">
        <f t="shared" si="0"/>
        <v>17</v>
      </c>
      <c r="C31" s="152" t="str">
        <f>+IFERROR(INDEX(Hoja1!$A$2:$A$82,MATCH(J31,Hoja1!$H$2:$H$82,0)),"")</f>
        <v>5.6</v>
      </c>
      <c r="D31" s="153" t="str">
        <f>IFERROR(VLOOKUP(C31,Hoja1!$A$2:$H$82,4,0),"")</f>
        <v>Ambiente de Control</v>
      </c>
      <c r="E31" s="153" t="str">
        <f>+IFERROR(VLOOKUP(C31,Hoja1!$A$1:$J$82,10,0),"")</f>
        <v>La entidad establece líneas de reporte dentro de la entidad para evaluar el funcionamiento del Sistema de Control Interno.</v>
      </c>
      <c r="F31" s="153" t="str">
        <f>+IFERROR(VLOOKUP(C31,Hoja1!$A$1:$I$82,3,0),"")</f>
        <v xml:space="preserve"> La entidad analiza los informes presentados por la Oficina de Control Interno y evalúa su impacto en relación con la mejora institucional</v>
      </c>
      <c r="G31" s="152">
        <f>+IFERROR(VLOOKUP(C31,Hoja1!$A$1:$K$82,11,0),"")</f>
        <v>3</v>
      </c>
      <c r="H31" s="154">
        <f>+IFERROR(VLOOKUP(C31,Hoja1!$A$1:$L$82,12,0),"")</f>
        <v>2</v>
      </c>
      <c r="I31" s="145" t="str">
        <f t="shared" si="1"/>
        <v>Se encuentra presente y funcionando, pero requiere acciones dirigidas a fortalecer  o mejorar su diseño y/o ejecucion.</v>
      </c>
      <c r="J31" s="93">
        <v>17</v>
      </c>
      <c r="K31" s="143">
        <f>+VLOOKUP(C31,Hoja1!$A$1:$M$82,13,0)</f>
        <v>0.5</v>
      </c>
      <c r="L31" s="715"/>
      <c r="M31" s="89"/>
      <c r="N31" s="62"/>
      <c r="O31" s="62"/>
      <c r="P31" s="62"/>
      <c r="Q31" s="62"/>
      <c r="R31" s="62"/>
      <c r="S31" s="62"/>
    </row>
    <row r="32" spans="2:19" s="52" customFormat="1" ht="99.75" customHeight="1" x14ac:dyDescent="0.2">
      <c r="B32" s="155">
        <f t="shared" si="0"/>
        <v>18</v>
      </c>
      <c r="C32" s="152" t="str">
        <f>+IFERROR(INDEX(Hoja1!$A$2:$A$82,MATCH(J32,Hoja1!$H$2:$H$82,0)),"")</f>
        <v>1.5</v>
      </c>
      <c r="D32" s="153" t="str">
        <f>IFERROR(VLOOKUP(C32,Hoja1!$A$2:$H$82,4,0),"")</f>
        <v>Ambiente de Control</v>
      </c>
      <c r="E32" s="153" t="str">
        <f>+IFERROR(VLOOKUP(C32,Hoja1!$A$1:$J$82,10,0),"")</f>
        <v>La entidad demuestra el compromiso con la integridad (valores) y principios del servicio público</v>
      </c>
      <c r="F32" s="153" t="str">
        <f>+IFERROR(VLOOKUP(C32,Hoja1!$A$1:$I$82,3,0),"")</f>
        <v xml:space="preserve">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v>
      </c>
      <c r="G32" s="152">
        <f>+IFERROR(VLOOKUP(C32,Hoja1!$A$1:$K$82,11,0),"")</f>
        <v>3</v>
      </c>
      <c r="H32" s="154">
        <f>+IFERROR(VLOOKUP(C32,Hoja1!$A$1:$L$82,12,0),"")</f>
        <v>3</v>
      </c>
      <c r="I32" s="145" t="str">
        <f t="shared" si="1"/>
        <v>Se encuentra presente y funciona correctamente, por lo tanto se requiere acciones o actividades  dirigidas a su mantenimiento dentro del marco de las lineas de defensa.</v>
      </c>
      <c r="J32" s="93">
        <v>18</v>
      </c>
      <c r="K32" s="143">
        <f>+VLOOKUP(C32,Hoja1!$A$1:$M$82,13,0)</f>
        <v>1</v>
      </c>
      <c r="L32" s="715"/>
      <c r="M32" s="89"/>
      <c r="N32" s="62"/>
      <c r="O32" s="62"/>
      <c r="P32" s="62"/>
      <c r="Q32" s="62"/>
      <c r="R32" s="62"/>
      <c r="S32" s="62"/>
    </row>
    <row r="33" spans="2:19" s="52" customFormat="1" ht="99.75" customHeight="1" x14ac:dyDescent="0.2">
      <c r="B33" s="151">
        <f t="shared" si="0"/>
        <v>19</v>
      </c>
      <c r="C33" s="152" t="str">
        <f>+IFERROR(INDEX(Hoja1!$A$2:$A$82,MATCH(J33,Hoja1!$H$2:$H$82,0)),"")</f>
        <v>2.1</v>
      </c>
      <c r="D33" s="153" t="str">
        <f>IFERROR(VLOOKUP(C33,Hoja1!$A$2:$H$82,4,0),"")</f>
        <v>Ambiente de Control</v>
      </c>
      <c r="E33" s="153" t="str">
        <f>+IFERROR(VLOOKUP(C33,Hoja1!$A$1:$J$82,10,0),"")</f>
        <v xml:space="preserve">Aplicación de mecanismos para ejercer una adecuada supervisión del Sistema de Control Interno </v>
      </c>
      <c r="F33" s="153" t="str">
        <f>+IFERROR(VLOOKUP(C33,Hoja1!$A$1:$I$82,3,0),"")</f>
        <v xml:space="preserve"> Creación o actualización del Comité Institucional de Coordinación de Control Interno (incluye ajustes en periodicidad para reunión, articulación con el Comité Institucioanl de Gestión y Desempeño)</v>
      </c>
      <c r="G33" s="152">
        <f>+IFERROR(VLOOKUP(C33,Hoja1!$A$1:$K$82,11,0),"")</f>
        <v>3</v>
      </c>
      <c r="H33" s="154">
        <f>+IFERROR(VLOOKUP(C33,Hoja1!$A$1:$L$82,12,0),"")</f>
        <v>3</v>
      </c>
      <c r="I33" s="145" t="str">
        <f t="shared" si="1"/>
        <v>Se encuentra presente y funciona correctamente, por lo tanto se requiere acciones o actividades  dirigidas a su mantenimiento dentro del marco de las lineas de defensa.</v>
      </c>
      <c r="J33" s="93">
        <v>19</v>
      </c>
      <c r="K33" s="143">
        <f>+VLOOKUP(C33,Hoja1!$A$1:$M$82,13,0)</f>
        <v>1</v>
      </c>
      <c r="L33" s="715"/>
      <c r="M33" s="89"/>
      <c r="N33" s="62"/>
      <c r="O33" s="62"/>
      <c r="P33" s="62"/>
      <c r="Q33" s="62"/>
      <c r="R33" s="62"/>
      <c r="S33" s="62"/>
    </row>
    <row r="34" spans="2:19" s="52" customFormat="1" ht="99.75" customHeight="1" x14ac:dyDescent="0.2">
      <c r="B34" s="151">
        <f t="shared" si="0"/>
        <v>20</v>
      </c>
      <c r="C34" s="152" t="str">
        <f>+IFERROR(INDEX(Hoja1!$A$2:$A$82,MATCH(J34,Hoja1!$H$2:$H$82,0)),"")</f>
        <v>2.2</v>
      </c>
      <c r="D34" s="153" t="str">
        <f>IFERROR(VLOOKUP(C34,Hoja1!$A$2:$H$82,4,0),"")</f>
        <v>Ambiente de Control</v>
      </c>
      <c r="E34" s="153" t="str">
        <f>+IFERROR(VLOOKUP(C34,Hoja1!$A$1:$J$82,10,0),"")</f>
        <v xml:space="preserve">Aplicación de mecanismos para ejercer una adecuada supervisión del Sistema de Control Interno </v>
      </c>
      <c r="F34" s="153" t="str">
        <f>+IFERROR(VLOOKUP(C34,Hoja1!$A$1:$I$82,3,0),"")</f>
        <v xml:space="preserve"> Definición y documentación del Esquema de Líneas de Defens</v>
      </c>
      <c r="G34" s="152">
        <f>+IFERROR(VLOOKUP(C34,Hoja1!$A$1:$K$82,11,0),"")</f>
        <v>3</v>
      </c>
      <c r="H34" s="154">
        <f>+IFERROR(VLOOKUP(C34,Hoja1!$A$1:$L$82,12,0),"")</f>
        <v>3</v>
      </c>
      <c r="I34" s="145" t="str">
        <f t="shared" si="1"/>
        <v>Se encuentra presente y funciona correctamente, por lo tanto se requiere acciones o actividades  dirigidas a su mantenimiento dentro del marco de las lineas de defensa.</v>
      </c>
      <c r="J34" s="93">
        <v>20</v>
      </c>
      <c r="K34" s="143">
        <f>+VLOOKUP(C34,Hoja1!$A$1:$M$82,13,0)</f>
        <v>1</v>
      </c>
      <c r="L34" s="715"/>
      <c r="M34" s="89"/>
      <c r="N34" s="62"/>
      <c r="O34" s="62"/>
      <c r="P34" s="62"/>
      <c r="Q34" s="62"/>
      <c r="R34" s="62"/>
      <c r="S34" s="62"/>
    </row>
    <row r="35" spans="2:19" s="52" customFormat="1" ht="99.75" customHeight="1" x14ac:dyDescent="0.2">
      <c r="B35" s="151">
        <f t="shared" si="0"/>
        <v>21</v>
      </c>
      <c r="C35" s="152" t="str">
        <f>+IFERROR(INDEX(Hoja1!$A$2:$A$82,MATCH(J35,Hoja1!$H$2:$H$82,0)),"")</f>
        <v>2.3</v>
      </c>
      <c r="D35" s="153" t="str">
        <f>IFERROR(VLOOKUP(C35,Hoja1!$A$2:$H$82,4,0),"")</f>
        <v>Ambiente de Control</v>
      </c>
      <c r="E35" s="153" t="str">
        <f>+IFERROR(VLOOKUP(C35,Hoja1!$A$1:$J$82,10,0),"")</f>
        <v xml:space="preserve">Aplicación de mecanismos para ejercer una adecuada supervisión del Sistema de Control Interno </v>
      </c>
      <c r="F35" s="153" t="str">
        <f>+IFERROR(VLOOKUP(C35,Hoja1!$A$1:$I$82,3,0),"")</f>
        <v xml:space="preserve"> Definición de líneas de reporte en temas clave para la toma de decisiones, atendiendo el Esquema de Líneas de Defens</v>
      </c>
      <c r="G35" s="152">
        <f>+IFERROR(VLOOKUP(C35,Hoja1!$A$1:$K$82,11,0),"")</f>
        <v>3</v>
      </c>
      <c r="H35" s="154">
        <f>+IFERROR(VLOOKUP(C35,Hoja1!$A$1:$L$82,12,0),"")</f>
        <v>3</v>
      </c>
      <c r="I35" s="145" t="str">
        <f t="shared" si="1"/>
        <v>Se encuentra presente y funciona correctamente, por lo tanto se requiere acciones o actividades  dirigidas a su mantenimiento dentro del marco de las lineas de defensa.</v>
      </c>
      <c r="J35" s="93">
        <v>21</v>
      </c>
      <c r="K35" s="143">
        <f>+VLOOKUP(C35,Hoja1!$A$1:$M$82,13,0)</f>
        <v>1</v>
      </c>
      <c r="L35" s="715"/>
      <c r="M35" s="89"/>
      <c r="N35" s="62"/>
      <c r="O35" s="62"/>
      <c r="P35" s="62"/>
      <c r="Q35" s="62"/>
      <c r="R35" s="62"/>
      <c r="S35" s="62"/>
    </row>
    <row r="36" spans="2:19" s="52" customFormat="1" ht="141.75" customHeight="1" x14ac:dyDescent="0.2">
      <c r="B36" s="155">
        <f t="shared" si="0"/>
        <v>22</v>
      </c>
      <c r="C36" s="152" t="str">
        <f>+IFERROR(INDEX(Hoja1!$A$2:$A$82,MATCH(J36,Hoja1!$H$2:$H$82,0)),"")</f>
        <v>3.2</v>
      </c>
      <c r="D36" s="153" t="str">
        <f>IFERROR(VLOOKUP(C36,Hoja1!$A$2:$H$82,4,0),"")</f>
        <v>Ambiente de Control</v>
      </c>
      <c r="E36" s="153" t="str">
        <f>+IFERROR(VLOOKUP(C36,Hoja1!$A$1:$J$82,10,0),"")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36" s="153" t="str">
        <f>+IFERROR(VLOOKUP(C36,Hoja1!$A$1:$I$82,3,0),"")</f>
        <v xml:space="preserve"> La Alta Dirección frente a la política de Administración del Riesgo definen los niveles de aceptación del riesgo, teniendo en cuenta cada uno de los objetivos establecidos.</v>
      </c>
      <c r="G36" s="152">
        <f>+IFERROR(VLOOKUP(C36,Hoja1!$A$1:$K$82,11,0),"")</f>
        <v>3</v>
      </c>
      <c r="H36" s="154">
        <f>+IFERROR(VLOOKUP(C36,Hoja1!$A$1:$L$82,12,0),"")</f>
        <v>3</v>
      </c>
      <c r="I36" s="145" t="str">
        <f t="shared" si="1"/>
        <v>Se encuentra presente y funciona correctamente, por lo tanto se requiere acciones o actividades  dirigidas a su mantenimiento dentro del marco de las lineas de defensa.</v>
      </c>
      <c r="J36" s="93">
        <v>22</v>
      </c>
      <c r="K36" s="143">
        <f>+VLOOKUP(C36,Hoja1!$A$1:$M$82,13,0)</f>
        <v>1</v>
      </c>
      <c r="L36" s="715"/>
      <c r="M36" s="89"/>
      <c r="N36" s="62"/>
      <c r="O36" s="62"/>
      <c r="P36" s="62"/>
      <c r="Q36" s="62"/>
      <c r="R36" s="62"/>
      <c r="S36" s="62"/>
    </row>
    <row r="37" spans="2:19" s="52" customFormat="1" ht="99.75" customHeight="1" x14ac:dyDescent="0.2">
      <c r="B37" s="151">
        <f t="shared" si="0"/>
        <v>23</v>
      </c>
      <c r="C37" s="152" t="str">
        <f>+IFERROR(INDEX(Hoja1!$A$2:$A$82,MATCH(J37,Hoja1!$H$2:$H$82,0)),"")</f>
        <v>4.1</v>
      </c>
      <c r="D37" s="153" t="str">
        <f>IFERROR(VLOOKUP(C37,Hoja1!$A$2:$H$82,4,0),"")</f>
        <v>Ambiente de Control</v>
      </c>
      <c r="E37" s="153" t="str">
        <f>+IFERROR(VLOOKUP(C37,Hoja1!$A$1:$J$82,10,0),"")</f>
        <v>Compromiso con la competencia de todo el personal, por lo que la gestión del talento humano tiene un carácter estratégico con el despliegue de actividades clave para todo el ciclo de vida del servidor público –ingreso, permanencia y retiro.</v>
      </c>
      <c r="F37" s="153" t="str">
        <f>+IFERROR(VLOOKUP(C37,Hoja1!$A$1:$I$82,3,0),"")</f>
        <v xml:space="preserve"> Evaluación de la Planeación Estratégica del Talento Humano</v>
      </c>
      <c r="G37" s="152">
        <f>+IFERROR(VLOOKUP(C37,Hoja1!$A$1:$K$82,11,0),"")</f>
        <v>3</v>
      </c>
      <c r="H37" s="154">
        <f>+IFERROR(VLOOKUP(C37,Hoja1!$A$1:$L$82,12,0),"")</f>
        <v>3</v>
      </c>
      <c r="I37" s="145" t="str">
        <f t="shared" si="1"/>
        <v>Se encuentra presente y funciona correctamente, por lo tanto se requiere acciones o actividades  dirigidas a su mantenimiento dentro del marco de las lineas de defensa.</v>
      </c>
      <c r="J37" s="93">
        <v>23</v>
      </c>
      <c r="K37" s="143">
        <f>+VLOOKUP(C37,Hoja1!$A$1:$M$82,13,0)</f>
        <v>1</v>
      </c>
      <c r="L37" s="715"/>
      <c r="M37" s="89"/>
      <c r="N37" s="62"/>
      <c r="O37" s="62"/>
      <c r="P37" s="62"/>
      <c r="Q37" s="62"/>
      <c r="R37" s="62"/>
      <c r="S37" s="62"/>
    </row>
    <row r="38" spans="2:19" s="52" customFormat="1" ht="99.75" customHeight="1" x14ac:dyDescent="0.2">
      <c r="B38" s="155">
        <f t="shared" si="0"/>
        <v>24</v>
      </c>
      <c r="C38" s="152" t="str">
        <f>+IFERROR(INDEX(Hoja1!$A$2:$A$82,MATCH(J38,Hoja1!$H$2:$H$82,0)),"")</f>
        <v>5.5</v>
      </c>
      <c r="D38" s="153" t="str">
        <f>IFERROR(VLOOKUP(C38,Hoja1!$A$2:$H$82,4,0),"")</f>
        <v>Ambiente de Control</v>
      </c>
      <c r="E38" s="153" t="str">
        <f>+IFERROR(VLOOKUP(C38,Hoja1!$A$1:$J$82,10,0),"")</f>
        <v>La entidad establece líneas de reporte dentro de la entidad para evaluar el funcionamiento del Sistema de Control Interno.</v>
      </c>
      <c r="F38" s="153" t="str">
        <f>+IFERROR(VLOOKUP(C38,Hoja1!$A$1:$I$82,3,0),"")</f>
        <v xml:space="preserve"> La entidad aprueba y hace seguimiento al Plan Anual de Auditoría presentado y ejecutado por parte de la Oficina de Control Interno</v>
      </c>
      <c r="G38" s="152">
        <f>+IFERROR(VLOOKUP(C38,Hoja1!$A$1:$K$82,11,0),"")</f>
        <v>3</v>
      </c>
      <c r="H38" s="154">
        <f>+IFERROR(VLOOKUP(C38,Hoja1!$A$1:$L$82,12,0),"")</f>
        <v>3</v>
      </c>
      <c r="I38" s="145" t="str">
        <f t="shared" si="1"/>
        <v>Se encuentra presente y funciona correctamente, por lo tanto se requiere acciones o actividades  dirigidas a su mantenimiento dentro del marco de las lineas de defensa.</v>
      </c>
      <c r="J38" s="93">
        <v>24</v>
      </c>
      <c r="K38" s="143">
        <f>+VLOOKUP(C38,Hoja1!$A$1:$M$82,13,0)</f>
        <v>1</v>
      </c>
      <c r="L38" s="716"/>
      <c r="M38" s="89"/>
      <c r="N38" s="62"/>
      <c r="O38" s="62"/>
      <c r="P38" s="62"/>
      <c r="Q38" s="62"/>
      <c r="R38" s="62"/>
      <c r="S38" s="62"/>
    </row>
    <row r="39" spans="2:19" s="52" customFormat="1" ht="99.75" customHeight="1" x14ac:dyDescent="0.2">
      <c r="B39" s="151">
        <f t="shared" si="0"/>
        <v>25</v>
      </c>
      <c r="C39" s="152" t="str">
        <f>+IFERROR(INDEX(Hoja1!$A$2:$A$82,MATCH(J39,Hoja1!$H$2:$H$82,0)),"")</f>
        <v>7.3</v>
      </c>
      <c r="D39" s="153" t="str">
        <f>IFERROR(VLOOKUP(C39,Hoja1!$A$2:$H$82,4,0),"")</f>
        <v>Evaluación de riesgos</v>
      </c>
      <c r="E39" s="153" t="str">
        <f>+IFERROR(VLOOKUP(C39,Hoja1!$A$1:$J$82,10,0),"")</f>
        <v xml:space="preserve">Identificación y análisis de riesgos (Analiza factores internos y externos; Implica a los niveles apropiados de la dirección; Determina cómo responder a los riesgos; Determina la importancia de los riesgos). </v>
      </c>
      <c r="F39" s="153" t="str">
        <f>+IFERROR(VLOOKUP(C39,Hoja1!$A$1:$I$82,3,0),"")</f>
        <v xml:space="preserve"> A partir de la información consolidada y reportada por la 2a línea de defensa (7.2), la Alta Dirección analiza sus resultados y en especial considera si se han presentado materializaciones de riesgo</v>
      </c>
      <c r="G39" s="152">
        <f>+IFERROR(VLOOKUP(C39,Hoja1!$A$1:$K$82,11,0),"")</f>
        <v>1</v>
      </c>
      <c r="H39" s="154">
        <f>+IFERROR(VLOOKUP(C39,Hoja1!$A$1:$L$82,12,0),"")</f>
        <v>1</v>
      </c>
      <c r="I39" s="145" t="str">
        <f t="shared" si="1"/>
        <v>No se encuentra presente  por lo tanto no esta funcionando, lo que hace que se requieran acciones dirigidas a fortalecer su diseño y puesta en marcha</v>
      </c>
      <c r="J39" s="93">
        <v>25</v>
      </c>
      <c r="K39" s="143">
        <f>+VLOOKUP(C39,Hoja1!$A$1:$M$82,13,0)</f>
        <v>0</v>
      </c>
      <c r="L39" s="737">
        <f>+AVERAGE(K39:K55)</f>
        <v>0.41176470588235292</v>
      </c>
      <c r="M39" s="89"/>
      <c r="N39" s="62"/>
      <c r="O39" s="62"/>
      <c r="P39" s="62"/>
      <c r="Q39" s="62"/>
      <c r="R39" s="62"/>
      <c r="S39" s="62"/>
    </row>
    <row r="40" spans="2:19" s="52" customFormat="1" ht="99.75" customHeight="1" x14ac:dyDescent="0.2">
      <c r="B40" s="151">
        <f t="shared" si="0"/>
        <v>26</v>
      </c>
      <c r="C40" s="152" t="str">
        <f>+IFERROR(INDEX(Hoja1!$A$2:$A$82,MATCH(J40,Hoja1!$H$2:$H$82,0)),"")</f>
        <v>9.3</v>
      </c>
      <c r="D40" s="153" t="str">
        <f>IFERROR(VLOOKUP(C40,Hoja1!$A$2:$H$82,4,0),"")</f>
        <v>Evaluación de riesgos</v>
      </c>
      <c r="E40" s="153" t="str">
        <f>+IFERROR(VLOOKUP(C40,Hoja1!$A$1:$J$82,10,0),"")</f>
        <v xml:space="preserve">Identificación y análisis de cambios significativos </v>
      </c>
      <c r="F40" s="153" t="str">
        <f>+IFERROR(VLOOKUP(C40,Hoja1!$A$1:$I$82,3,0),"")</f>
        <v xml:space="preserve"> La Alta Dirección monitorea los riesgos aceptados revisando que sus condiciones no hayan cambiado y definir su pertinencia para sostenerlos o ajustarlos</v>
      </c>
      <c r="G40" s="152">
        <f>+IFERROR(VLOOKUP(C40,Hoja1!$A$1:$K$82,11,0),"")</f>
        <v>1</v>
      </c>
      <c r="H40" s="154">
        <f>+IFERROR(VLOOKUP(C40,Hoja1!$A$1:$L$82,12,0),"")</f>
        <v>1</v>
      </c>
      <c r="I40" s="145" t="str">
        <f t="shared" si="1"/>
        <v>No se encuentra presente  por lo tanto no esta funcionando, lo que hace que se requieran acciones dirigidas a fortalecer su diseño y puesta en marcha</v>
      </c>
      <c r="J40" s="93">
        <v>26</v>
      </c>
      <c r="K40" s="143">
        <f>+VLOOKUP(C40,Hoja1!$A$1:$M$82,13,0)</f>
        <v>0</v>
      </c>
      <c r="L40" s="715"/>
      <c r="M40" s="89"/>
      <c r="N40" s="62"/>
      <c r="O40" s="62"/>
      <c r="P40" s="62"/>
      <c r="Q40" s="62"/>
      <c r="R40" s="62"/>
      <c r="S40" s="62"/>
    </row>
    <row r="41" spans="2:19" s="52" customFormat="1" ht="99.75" customHeight="1" x14ac:dyDescent="0.2">
      <c r="B41" s="151">
        <f t="shared" si="0"/>
        <v>27</v>
      </c>
      <c r="C41" s="152" t="str">
        <f>+IFERROR(INDEX(Hoja1!$A$2:$A$82,MATCH(J41,Hoja1!$H$2:$H$82,0)),"")</f>
        <v>9.4</v>
      </c>
      <c r="D41" s="153" t="str">
        <f>IFERROR(VLOOKUP(C41,Hoja1!$A$2:$H$82,4,0),"")</f>
        <v>Evaluación de riesgos</v>
      </c>
      <c r="E41" s="153" t="str">
        <f>+IFERROR(VLOOKUP(C41,Hoja1!$A$1:$J$82,10,0),"")</f>
        <v xml:space="preserve">Identificación y análisis de cambios significativos </v>
      </c>
      <c r="F41" s="153" t="str">
        <f>+IFERROR(VLOOKUP(C41,Hoja1!$A$1:$I$82,3,0),"")</f>
        <v xml:space="preserve"> La Alta Dirección evalúa fallas en los controles (diseño y ejecución) para definir cursos de acción apropiados para su mejora, basados en los informes de la segunda y tercera linea de defensa</v>
      </c>
      <c r="G41" s="152">
        <f>+IFERROR(VLOOKUP(C41,Hoja1!$A$1:$K$82,11,0),"")</f>
        <v>1</v>
      </c>
      <c r="H41" s="154">
        <f>+IFERROR(VLOOKUP(C41,Hoja1!$A$1:$L$82,12,0),"")</f>
        <v>1</v>
      </c>
      <c r="I41" s="145" t="str">
        <f t="shared" si="1"/>
        <v>No se encuentra presente  por lo tanto no esta funcionando, lo que hace que se requieran acciones dirigidas a fortalecer su diseño y puesta en marcha</v>
      </c>
      <c r="J41" s="93">
        <v>27</v>
      </c>
      <c r="K41" s="143">
        <f>+VLOOKUP(C41,Hoja1!$A$1:$M$82,13,0)</f>
        <v>0</v>
      </c>
      <c r="L41" s="715"/>
      <c r="M41" s="89"/>
      <c r="N41" s="62"/>
      <c r="O41" s="62"/>
      <c r="P41" s="62"/>
      <c r="Q41" s="62"/>
      <c r="R41" s="62"/>
      <c r="S41" s="62"/>
    </row>
    <row r="42" spans="2:19" s="52" customFormat="1" ht="99.75" customHeight="1" x14ac:dyDescent="0.2">
      <c r="B42" s="155">
        <f t="shared" si="0"/>
        <v>28</v>
      </c>
      <c r="C42" s="152" t="str">
        <f>+IFERROR(INDEX(Hoja1!$A$2:$A$82,MATCH(J42,Hoja1!$H$2:$H$82,0)),"")</f>
        <v>9.5</v>
      </c>
      <c r="D42" s="153" t="str">
        <f>IFERROR(VLOOKUP(C42,Hoja1!$A$2:$H$82,4,0),"")</f>
        <v>Evaluación de riesgos</v>
      </c>
      <c r="E42" s="153" t="str">
        <f>+IFERROR(VLOOKUP(C42,Hoja1!$A$1:$J$82,10,0),"")</f>
        <v xml:space="preserve">Identificación y análisis de cambios significativos </v>
      </c>
      <c r="F42" s="153" t="str">
        <f>+IFERROR(VLOOKUP(C42,Hoja1!$A$1:$I$82,3,0),"")</f>
        <v xml:space="preserve"> La entidad analiza el impacto sobre el control interno por cambios en los diferentes niveles organizacionales</v>
      </c>
      <c r="G42" s="152">
        <f>+IFERROR(VLOOKUP(C42,Hoja1!$A$1:$K$82,11,0),"")</f>
        <v>1</v>
      </c>
      <c r="H42" s="154">
        <f>+IFERROR(VLOOKUP(C42,Hoja1!$A$1:$L$82,12,0),"")</f>
        <v>1</v>
      </c>
      <c r="I42" s="145" t="str">
        <f t="shared" si="1"/>
        <v>No se encuentra presente  por lo tanto no esta funcionando, lo que hace que se requieran acciones dirigidas a fortalecer su diseño y puesta en marcha</v>
      </c>
      <c r="J42" s="93">
        <v>28</v>
      </c>
      <c r="K42" s="143">
        <f>+VLOOKUP(C42,Hoja1!$A$1:$M$82,13,0)</f>
        <v>0</v>
      </c>
      <c r="L42" s="715"/>
      <c r="M42" s="89"/>
      <c r="N42" s="62"/>
      <c r="O42" s="62"/>
      <c r="P42" s="62"/>
      <c r="Q42" s="62"/>
      <c r="R42" s="62"/>
      <c r="S42" s="62"/>
    </row>
    <row r="43" spans="2:19" s="52" customFormat="1" ht="99.75" customHeight="1" x14ac:dyDescent="0.2">
      <c r="B43" s="151">
        <f t="shared" si="0"/>
        <v>29</v>
      </c>
      <c r="C43" s="152" t="str">
        <f>+IFERROR(INDEX(Hoja1!$A$2:$A$82,MATCH(J43,Hoja1!$H$2:$H$82,0)),"")</f>
        <v>6.1</v>
      </c>
      <c r="D43" s="153" t="str">
        <f>IFERROR(VLOOKUP(C43,Hoja1!$A$2:$H$82,4,0),"")</f>
        <v>Evaluación de riesgos</v>
      </c>
      <c r="E43" s="153" t="str">
        <f>+IFERROR(VLOOKUP(C43,Hoja1!$A$1:$J$82,10,0),"")</f>
        <v xml:space="preserve">Definición de objetivos con suficiente claridad para identificar y evaluar los riesgos relacionados: i)Estratégicos; ii)Operativos; iii)Legales y Presupuestales; iv)De Información Financiera y no Financiera.
</v>
      </c>
      <c r="F43" s="153" t="str">
        <f>+IFERROR(VLOOKUP(C43,Hoja1!$A$1:$I$82,3,0),"")</f>
        <v xml:space="preserve">  La Entidad cuenta con mecanismos para vincular o relacionar el plan estratégico con los objetivos estratégicos y estos a su vez con los objetivos operativos</v>
      </c>
      <c r="G43" s="152">
        <f>+IFERROR(VLOOKUP(C43,Hoja1!$A$1:$K$82,11,0),"")</f>
        <v>2</v>
      </c>
      <c r="H43" s="154">
        <f>+IFERROR(VLOOKUP(C43,Hoja1!$A$1:$L$82,12,0),"")</f>
        <v>1</v>
      </c>
      <c r="I43" s="145" t="str">
        <f t="shared" si="1"/>
        <v>Se encuentra presente y funcionando, pero requiere acciones dirigidas a fortalecer  o mejorar su diseño y/o ejecucion.</v>
      </c>
      <c r="J43" s="93">
        <v>29</v>
      </c>
      <c r="K43" s="143">
        <f>+VLOOKUP(C43,Hoja1!$A$1:$M$82,13,0)</f>
        <v>0.5</v>
      </c>
      <c r="L43" s="715"/>
      <c r="M43" s="89"/>
      <c r="N43" s="62"/>
      <c r="O43" s="62"/>
      <c r="P43" s="62"/>
      <c r="Q43" s="62"/>
      <c r="R43" s="62"/>
      <c r="S43" s="62"/>
    </row>
    <row r="44" spans="2:19" s="52" customFormat="1" ht="99.75" customHeight="1" x14ac:dyDescent="0.2">
      <c r="B44" s="155">
        <f t="shared" si="0"/>
        <v>30</v>
      </c>
      <c r="C44" s="152" t="str">
        <f>+IFERROR(INDEX(Hoja1!$A$2:$A$82,MATCH(J44,Hoja1!$H$2:$H$82,0)),"")</f>
        <v>6.2</v>
      </c>
      <c r="D44" s="153" t="str">
        <f>IFERROR(VLOOKUP(C44,Hoja1!$A$2:$H$82,4,0),"")</f>
        <v>Evaluación de riesgos</v>
      </c>
      <c r="E44" s="153" t="str">
        <f>+IFERROR(VLOOKUP(C44,Hoja1!$A$1:$J$82,10,0),"")</f>
        <v xml:space="preserve">Definición de objetivos con suficiente claridad para identificar y evaluar los riesgos relacionados: i)Estratégicos; ii)Operativos; iii)Legales y Presupuestales; iv)De Información Financiera y no Financiera.
</v>
      </c>
      <c r="F44" s="153" t="str">
        <f>+IFERROR(VLOOKUP(C44,Hoja1!$A$1:$I$82,3,0),"")</f>
        <v xml:space="preserve"> Los objetivos de los procesos, programas o proyectos (según aplique) que están definidos, son específicos, medibles, alcanzables, relevantes, delimitados en el tiempo</v>
      </c>
      <c r="G44" s="152">
        <f>+IFERROR(VLOOKUP(C44,Hoja1!$A$1:$K$82,11,0),"")</f>
        <v>2</v>
      </c>
      <c r="H44" s="154">
        <f>+IFERROR(VLOOKUP(C44,Hoja1!$A$1:$L$82,12,0),"")</f>
        <v>1</v>
      </c>
      <c r="I44" s="145" t="str">
        <f t="shared" si="1"/>
        <v>Se encuentra presente y funcionando, pero requiere acciones dirigidas a fortalecer  o mejorar su diseño y/o ejecucion.</v>
      </c>
      <c r="J44" s="93">
        <v>30</v>
      </c>
      <c r="K44" s="143">
        <f>+VLOOKUP(C44,Hoja1!$A$1:$M$82,13,0)</f>
        <v>0.5</v>
      </c>
      <c r="L44" s="715"/>
      <c r="M44" s="89"/>
      <c r="N44" s="62"/>
      <c r="O44" s="62"/>
      <c r="P44" s="62"/>
      <c r="Q44" s="62"/>
      <c r="R44" s="62"/>
      <c r="S44" s="62"/>
    </row>
    <row r="45" spans="2:19" s="52" customFormat="1" ht="99.75" customHeight="1" x14ac:dyDescent="0.2">
      <c r="B45" s="151">
        <f t="shared" si="0"/>
        <v>31</v>
      </c>
      <c r="C45" s="152" t="str">
        <f>+IFERROR(INDEX(Hoja1!$A$2:$A$82,MATCH(J45,Hoja1!$H$2:$H$82,0)),"")</f>
        <v>6.3</v>
      </c>
      <c r="D45" s="153" t="str">
        <f>IFERROR(VLOOKUP(C45,Hoja1!$A$2:$H$82,4,0),"")</f>
        <v>Evaluación de riesgos</v>
      </c>
      <c r="E45" s="153" t="str">
        <f>+IFERROR(VLOOKUP(C45,Hoja1!$A$1:$J$82,10,0),"")</f>
        <v xml:space="preserve">Definición de objetivos con suficiente claridad para identificar y evaluar los riesgos relacionados: i)Estratégicos; ii)Operativos; iii)Legales y Presupuestales; iv)De Información Financiera y no Financiera.
</v>
      </c>
      <c r="F45" s="153" t="str">
        <f>+IFERROR(VLOOKUP(C45,Hoja1!$A$1:$I$82,3,0),"")</f>
        <v xml:space="preserve"> La Alta Dirección evalúa periódicamente los objetivos establecidos para asegurar que estos continúan siendo consistentes y apropiados para la Entidad</v>
      </c>
      <c r="G45" s="152">
        <f>+IFERROR(VLOOKUP(C45,Hoja1!$A$1:$K$82,11,0),"")</f>
        <v>3</v>
      </c>
      <c r="H45" s="154">
        <f>+IFERROR(VLOOKUP(C45,Hoja1!$A$1:$L$82,12,0),"")</f>
        <v>2</v>
      </c>
      <c r="I45" s="145" t="str">
        <f t="shared" si="1"/>
        <v>Se encuentra presente y funcionando, pero requiere acciones dirigidas a fortalecer  o mejorar su diseño y/o ejecucion.</v>
      </c>
      <c r="J45" s="93">
        <v>31</v>
      </c>
      <c r="K45" s="143">
        <f>+VLOOKUP(C45,Hoja1!$A$1:$M$82,13,0)</f>
        <v>0.5</v>
      </c>
      <c r="L45" s="715"/>
      <c r="M45" s="89"/>
      <c r="N45" s="62"/>
      <c r="O45" s="62"/>
      <c r="P45" s="62"/>
      <c r="Q45" s="62"/>
      <c r="R45" s="62"/>
      <c r="S45" s="62"/>
    </row>
    <row r="46" spans="2:19" s="52" customFormat="1" ht="99.75" customHeight="1" x14ac:dyDescent="0.2">
      <c r="B46" s="151">
        <f t="shared" si="0"/>
        <v>32</v>
      </c>
      <c r="C46" s="152" t="str">
        <f>+IFERROR(INDEX(Hoja1!$A$2:$A$82,MATCH(J46,Hoja1!$H$2:$H$82,0)),"")</f>
        <v>7.1</v>
      </c>
      <c r="D46" s="153" t="str">
        <f>IFERROR(VLOOKUP(C46,Hoja1!$A$2:$H$82,4,0),"")</f>
        <v>Evaluación de riesgos</v>
      </c>
      <c r="E46" s="153" t="str">
        <f>+IFERROR(VLOOKUP(C46,Hoja1!$A$1:$J$82,10,0),"")</f>
        <v xml:space="preserve">Identificación y análisis de riesgos (Analiza factores internos y externos; Implica a los niveles apropiados de la dirección; Determina cómo responder a los riesgos; Determina la importancia de los riesgos). </v>
      </c>
      <c r="F46" s="153" t="str">
        <f>+IFERROR(VLOOKUP(C46,Hoja1!$A$1:$I$82,3,0),"")</f>
        <v xml:space="preserve"> Teniendo en cuenta la estructura de la política de Administración del Riesgo, su alcance define lineamientos para toda la entidad, incluyendo regionales, áreas tercerizadas u otras instancias que afectan la prestación del servicio</v>
      </c>
      <c r="G46" s="152">
        <f>+IFERROR(VLOOKUP(C46,Hoja1!$A$1:$K$82,11,0),"")</f>
        <v>3</v>
      </c>
      <c r="H46" s="154">
        <f>+IFERROR(VLOOKUP(C46,Hoja1!$A$1:$L$82,12,0),"")</f>
        <v>2</v>
      </c>
      <c r="I46" s="145" t="str">
        <f t="shared" si="1"/>
        <v>Se encuentra presente y funcionando, pero requiere acciones dirigidas a fortalecer  o mejorar su diseño y/o ejecucion.</v>
      </c>
      <c r="J46" s="93">
        <v>32</v>
      </c>
      <c r="K46" s="143">
        <f>+VLOOKUP(C46,Hoja1!$A$1:$M$82,13,0)</f>
        <v>0.5</v>
      </c>
      <c r="L46" s="715"/>
      <c r="M46" s="89"/>
      <c r="N46" s="62"/>
      <c r="O46" s="62"/>
      <c r="P46" s="62"/>
      <c r="Q46" s="62"/>
      <c r="R46" s="62"/>
      <c r="S46" s="62"/>
    </row>
    <row r="47" spans="2:19" s="52" customFormat="1" ht="99.75" customHeight="1" x14ac:dyDescent="0.2">
      <c r="B47" s="151">
        <f t="shared" si="0"/>
        <v>33</v>
      </c>
      <c r="C47" s="152" t="str">
        <f>+IFERROR(INDEX(Hoja1!$A$2:$A$82,MATCH(J47,Hoja1!$H$2:$H$82,0)),"")</f>
        <v>7.2</v>
      </c>
      <c r="D47" s="153" t="str">
        <f>IFERROR(VLOOKUP(C47,Hoja1!$A$2:$H$82,4,0),"")</f>
        <v>Evaluación de riesgos</v>
      </c>
      <c r="E47" s="153" t="str">
        <f>+IFERROR(VLOOKUP(C47,Hoja1!$A$1:$J$82,10,0),"")</f>
        <v xml:space="preserve">Identificación y análisis de riesgos (Analiza factores internos y externos; Implica a los niveles apropiados de la dirección; Determina cómo responder a los riesgos; Determina la importancia de los riesgos). </v>
      </c>
      <c r="F47" s="153" t="str">
        <f>+IFERROR(VLOOKUP(C47,Hoja1!$A$1:$I$82,3,0),"")</f>
        <v xml:space="preserve"> La Oficina de Planeación, Gerencia de Riesgos (donde existan), como 2a línea de defensa, consolidan información clave frente a la gestión del riesgo</v>
      </c>
      <c r="G47" s="152">
        <f>+IFERROR(VLOOKUP(C47,Hoja1!$A$1:$K$82,11,0),"")</f>
        <v>3</v>
      </c>
      <c r="H47" s="154">
        <f>+IFERROR(VLOOKUP(C47,Hoja1!$A$1:$L$82,12,0),"")</f>
        <v>2</v>
      </c>
      <c r="I47" s="145" t="str">
        <f t="shared" si="1"/>
        <v>Se encuentra presente y funcionando, pero requiere acciones dirigidas a fortalecer  o mejorar su diseño y/o ejecucion.</v>
      </c>
      <c r="J47" s="93">
        <v>33</v>
      </c>
      <c r="K47" s="143">
        <f>+VLOOKUP(C47,Hoja1!$A$1:$M$82,13,0)</f>
        <v>0.5</v>
      </c>
      <c r="L47" s="715"/>
      <c r="M47" s="89"/>
      <c r="N47" s="62"/>
      <c r="O47" s="62"/>
      <c r="P47" s="62"/>
      <c r="Q47" s="62"/>
      <c r="R47" s="62"/>
      <c r="S47" s="62"/>
    </row>
    <row r="48" spans="2:19" s="52" customFormat="1" ht="99.75" customHeight="1" x14ac:dyDescent="0.2">
      <c r="B48" s="155">
        <f t="shared" si="0"/>
        <v>34</v>
      </c>
      <c r="C48" s="152" t="str">
        <f>+IFERROR(INDEX(Hoja1!$A$2:$A$82,MATCH(J48,Hoja1!$H$2:$H$82,0)),"")</f>
        <v>7.5</v>
      </c>
      <c r="D48" s="153" t="str">
        <f>IFERROR(VLOOKUP(C48,Hoja1!$A$2:$H$82,4,0),"")</f>
        <v>Evaluación de riesgos</v>
      </c>
      <c r="E48" s="153" t="str">
        <f>+IFERROR(VLOOKUP(C48,Hoja1!$A$1:$J$82,10,0),"")</f>
        <v xml:space="preserve">Identificación y análisis de riesgos (Analiza factores internos y externos; Implica a los niveles apropiados de la dirección; Determina cómo responder a los riesgos; Determina la importancia de los riesgos). </v>
      </c>
      <c r="F48" s="153" t="str">
        <f>+IFERROR(VLOOKUP(C48,Hoja1!$A$1:$I$82,3,0),"")</f>
        <v xml:space="preserve"> Se llevan a cabo seguimientos a las acciones definidas para resolver materializaciones de riesgo detectadas</v>
      </c>
      <c r="G48" s="152">
        <f>+IFERROR(VLOOKUP(C48,Hoja1!$A$1:$K$82,11,0),"")</f>
        <v>3</v>
      </c>
      <c r="H48" s="154">
        <f>+IFERROR(VLOOKUP(C48,Hoja1!$A$1:$L$82,12,0),"")</f>
        <v>2</v>
      </c>
      <c r="I48" s="145" t="str">
        <f t="shared" si="1"/>
        <v>Se encuentra presente y funcionando, pero requiere acciones dirigidas a fortalecer  o mejorar su diseño y/o ejecucion.</v>
      </c>
      <c r="J48" s="93">
        <v>34</v>
      </c>
      <c r="K48" s="143">
        <f>+VLOOKUP(C48,Hoja1!$A$1:$M$82,13,0)</f>
        <v>0.5</v>
      </c>
      <c r="L48" s="715"/>
      <c r="M48" s="89"/>
      <c r="N48" s="62"/>
      <c r="O48" s="62"/>
      <c r="P48" s="62"/>
      <c r="Q48" s="62"/>
      <c r="R48" s="62"/>
      <c r="S48" s="62"/>
    </row>
    <row r="49" spans="2:19" s="52" customFormat="1" ht="99.75" customHeight="1" x14ac:dyDescent="0.2">
      <c r="B49" s="151">
        <f t="shared" si="0"/>
        <v>35</v>
      </c>
      <c r="C49" s="152" t="str">
        <f>+IFERROR(INDEX(Hoja1!$A$2:$A$82,MATCH(J49,Hoja1!$H$2:$H$82,0)),"")</f>
        <v>8.1</v>
      </c>
      <c r="D49" s="153" t="str">
        <f>IFERROR(VLOOKUP(C49,Hoja1!$A$2:$H$82,4,0),"")</f>
        <v>Evaluación de riesgos</v>
      </c>
      <c r="E49" s="153" t="str">
        <f>+IFERROR(VLOOKUP(C49,Hoja1!$A$1:$J$82,10,0),"")</f>
        <v xml:space="preserve">Evaluación del riesgo de fraude o corrupción. 
Cumplimiento artículo 73 de la Ley 1474 de 2011, relacionado con la prevención de los riesgos de corrupción.
</v>
      </c>
      <c r="F49" s="153" t="str">
        <f>+IFERROR(VLOOKUP(C49,Hoja1!$A$1:$I$82,3,0),"")</f>
        <v xml:space="preserve"> La Alta Dirección acorde con el análisis del entorno interno y externo, define los procesos, programas o proyectos (según aplique), susceptibles de posibles actos de corrupción</v>
      </c>
      <c r="G49" s="152">
        <f>+IFERROR(VLOOKUP(C49,Hoja1!$A$1:$K$82,11,0),"")</f>
        <v>3</v>
      </c>
      <c r="H49" s="154">
        <f>+IFERROR(VLOOKUP(C49,Hoja1!$A$1:$L$82,12,0),"")</f>
        <v>2</v>
      </c>
      <c r="I49" s="145" t="str">
        <f t="shared" si="1"/>
        <v>Se encuentra presente y funcionando, pero requiere acciones dirigidas a fortalecer  o mejorar su diseño y/o ejecucion.</v>
      </c>
      <c r="J49" s="93">
        <v>35</v>
      </c>
      <c r="K49" s="143">
        <f>+VLOOKUP(C49,Hoja1!$A$1:$M$82,13,0)</f>
        <v>0.5</v>
      </c>
      <c r="L49" s="715"/>
      <c r="M49" s="89"/>
      <c r="N49" s="62"/>
      <c r="O49" s="62"/>
      <c r="P49" s="62"/>
      <c r="Q49" s="62"/>
      <c r="R49" s="62"/>
      <c r="S49" s="62"/>
    </row>
    <row r="50" spans="2:19" s="52" customFormat="1" ht="99.75" customHeight="1" x14ac:dyDescent="0.2">
      <c r="B50" s="155">
        <f t="shared" si="0"/>
        <v>36</v>
      </c>
      <c r="C50" s="152" t="str">
        <f>+IFERROR(INDEX(Hoja1!$A$2:$A$82,MATCH(J50,Hoja1!$H$2:$H$82,0)),"")</f>
        <v>8.2</v>
      </c>
      <c r="D50" s="153" t="str">
        <f>IFERROR(VLOOKUP(C50,Hoja1!$A$2:$H$82,4,0),"")</f>
        <v>Evaluación de riesgos</v>
      </c>
      <c r="E50" s="153" t="str">
        <f>+IFERROR(VLOOKUP(C50,Hoja1!$A$1:$J$82,10,0),"")</f>
        <v xml:space="preserve">Evaluación del riesgo de fraude o corrupción. 
Cumplimiento artículo 73 de la Ley 1474 de 2011, relacionado con la prevención de los riesgos de corrupción.
</v>
      </c>
      <c r="F50" s="153" t="str">
        <f>+IFERROR(VLOOKUP(C50,Hoja1!$A$1:$I$82,3,0),"")</f>
        <v xml:space="preserve"> La Alta Dirección monitorea los riesgos de corrupción con la periodicidad establecida en la Política de Administración del Riesgo</v>
      </c>
      <c r="G50" s="152">
        <f>+IFERROR(VLOOKUP(C50,Hoja1!$A$1:$K$82,11,0),"")</f>
        <v>2</v>
      </c>
      <c r="H50" s="154">
        <f>+IFERROR(VLOOKUP(C50,Hoja1!$A$1:$L$82,12,0),"")</f>
        <v>2</v>
      </c>
      <c r="I50" s="145" t="str">
        <f t="shared" si="1"/>
        <v>Se encuentra presente y funcionando, pero requiere acciones dirigidas a fortalecer  o mejorar su diseño y/o ejecucion.</v>
      </c>
      <c r="J50" s="93">
        <v>36</v>
      </c>
      <c r="K50" s="143">
        <f>+VLOOKUP(C50,Hoja1!$A$1:$M$82,13,0)</f>
        <v>0.5</v>
      </c>
      <c r="L50" s="715"/>
      <c r="M50" s="89"/>
      <c r="N50" s="62"/>
      <c r="O50" s="62"/>
      <c r="P50" s="62"/>
      <c r="Q50" s="62"/>
      <c r="R50" s="62"/>
      <c r="S50" s="62"/>
    </row>
    <row r="51" spans="2:19" s="52" customFormat="1" ht="99.75" customHeight="1" x14ac:dyDescent="0.2">
      <c r="B51" s="151">
        <f t="shared" si="0"/>
        <v>37</v>
      </c>
      <c r="C51" s="152" t="str">
        <f>+IFERROR(INDEX(Hoja1!$A$2:$A$82,MATCH(J51,Hoja1!$H$2:$H$82,0)),"")</f>
        <v>8.3</v>
      </c>
      <c r="D51" s="153" t="str">
        <f>IFERROR(VLOOKUP(C51,Hoja1!$A$2:$H$82,4,0),"")</f>
        <v>Evaluación de riesgos</v>
      </c>
      <c r="E51" s="153" t="str">
        <f>+IFERROR(VLOOKUP(C51,Hoja1!$A$1:$J$82,10,0),"")</f>
        <v xml:space="preserve">Evaluación del riesgo de fraude o corrupción. 
Cumplimiento artículo 73 de la Ley 1474 de 2011, relacionado con la prevención de los riesgos de corrupción.
</v>
      </c>
      <c r="F51" s="153" t="str">
        <f>+IFERROR(VLOOKUP(C51,Hoja1!$A$1:$I$82,3,0),"")</f>
        <v xml:space="preserve"> Para el desarrollo de las actividades de control, la entidad considera la adecuada división de las funciones y que éstas se encuentren segregadas en diferentes personas para reducir el riesgo de acciones fraudulentas</v>
      </c>
      <c r="G51" s="152">
        <f>+IFERROR(VLOOKUP(C51,Hoja1!$A$1:$K$82,11,0),"")</f>
        <v>3</v>
      </c>
      <c r="H51" s="154">
        <f>+IFERROR(VLOOKUP(C51,Hoja1!$A$1:$L$82,12,0),"")</f>
        <v>2</v>
      </c>
      <c r="I51" s="145" t="str">
        <f t="shared" si="1"/>
        <v>Se encuentra presente y funcionando, pero requiere acciones dirigidas a fortalecer  o mejorar su diseño y/o ejecucion.</v>
      </c>
      <c r="J51" s="93">
        <v>37</v>
      </c>
      <c r="K51" s="143">
        <f>+VLOOKUP(C51,Hoja1!$A$1:$M$82,13,0)</f>
        <v>0.5</v>
      </c>
      <c r="L51" s="715"/>
      <c r="M51" s="89"/>
      <c r="N51" s="62"/>
      <c r="O51" s="62"/>
      <c r="P51" s="62"/>
      <c r="Q51" s="62"/>
      <c r="R51" s="62"/>
      <c r="S51" s="62"/>
    </row>
    <row r="52" spans="2:19" s="52" customFormat="1" ht="99.75" customHeight="1" x14ac:dyDescent="0.2">
      <c r="B52" s="151">
        <f t="shared" si="0"/>
        <v>38</v>
      </c>
      <c r="C52" s="152" t="str">
        <f>+IFERROR(INDEX(Hoja1!$A$2:$A$82,MATCH(J52,Hoja1!$H$2:$H$82,0)),"")</f>
        <v>8.4</v>
      </c>
      <c r="D52" s="153" t="str">
        <f>IFERROR(VLOOKUP(C52,Hoja1!$A$2:$H$82,4,0),"")</f>
        <v>Evaluación de riesgos</v>
      </c>
      <c r="E52" s="153" t="str">
        <f>+IFERROR(VLOOKUP(C52,Hoja1!$A$1:$J$82,10,0),"")</f>
        <v xml:space="preserve">Evaluación del riesgo de fraude o corrupción. 
Cumplimiento artículo 73 de la Ley 1474 de 2011, relacionado con la prevención de los riesgos de corrupción.
</v>
      </c>
      <c r="F52" s="153" t="str">
        <f>+IFERROR(VLOOKUP(C52,Hoja1!$A$1:$I$82,3,0),"")</f>
        <v xml:space="preserve"> La Alta Dirección evalúa fallas en los controles (diseño y ejecución) para definir cursos de acción apropiados para su mejora</v>
      </c>
      <c r="G52" s="152">
        <f>+IFERROR(VLOOKUP(C52,Hoja1!$A$1:$K$82,11,0),"")</f>
        <v>3</v>
      </c>
      <c r="H52" s="154">
        <f>+IFERROR(VLOOKUP(C52,Hoja1!$A$1:$L$82,12,0),"")</f>
        <v>2</v>
      </c>
      <c r="I52" s="145" t="str">
        <f t="shared" si="1"/>
        <v>Se encuentra presente y funcionando, pero requiere acciones dirigidas a fortalecer  o mejorar su diseño y/o ejecucion.</v>
      </c>
      <c r="J52" s="93">
        <v>38</v>
      </c>
      <c r="K52" s="143">
        <f>+VLOOKUP(C52,Hoja1!$A$1:$M$82,13,0)</f>
        <v>0.5</v>
      </c>
      <c r="L52" s="715"/>
      <c r="M52" s="89"/>
      <c r="N52" s="62"/>
      <c r="O52" s="62"/>
      <c r="P52" s="62"/>
      <c r="Q52" s="62"/>
      <c r="R52" s="62"/>
      <c r="S52" s="62"/>
    </row>
    <row r="53" spans="2:19" s="52" customFormat="1" ht="99.75" customHeight="1" x14ac:dyDescent="0.2">
      <c r="B53" s="151">
        <f t="shared" si="0"/>
        <v>39</v>
      </c>
      <c r="C53" s="152" t="str">
        <f>+IFERROR(INDEX(Hoja1!$A$2:$A$82,MATCH(J53,Hoja1!$H$2:$H$82,0)),"")</f>
        <v>9.1</v>
      </c>
      <c r="D53" s="153" t="str">
        <f>IFERROR(VLOOKUP(C53,Hoja1!$A$2:$H$82,4,0),"")</f>
        <v>Evaluación de riesgos</v>
      </c>
      <c r="E53" s="153" t="str">
        <f>+IFERROR(VLOOKUP(C53,Hoja1!$A$1:$J$82,10,0),"")</f>
        <v xml:space="preserve">Identificación y análisis de cambios significativos </v>
      </c>
      <c r="F53" s="153" t="str">
        <f>+IFERROR(VLOOKUP(C53,Hoja1!$A$1:$I$82,3,0),"")</f>
        <v xml:space="preserve"> Acorde con lo establecido en la política de Administración del Riesgo, se monitorean los factores internos y externos definidos para la entidad, a fin de establecer cambios en el entorno que determinen nuevos riesgos o ajustes a los existentes</v>
      </c>
      <c r="G53" s="152">
        <f>+IFERROR(VLOOKUP(C53,Hoja1!$A$1:$K$82,11,0),"")</f>
        <v>3</v>
      </c>
      <c r="H53" s="154">
        <f>+IFERROR(VLOOKUP(C53,Hoja1!$A$1:$L$82,12,0),"")</f>
        <v>2</v>
      </c>
      <c r="I53" s="145" t="str">
        <f t="shared" si="1"/>
        <v>Se encuentra presente y funcionando, pero requiere acciones dirigidas a fortalecer  o mejorar su diseño y/o ejecucion.</v>
      </c>
      <c r="J53" s="93">
        <v>39</v>
      </c>
      <c r="K53" s="143">
        <f>+VLOOKUP(C53,Hoja1!$A$1:$M$82,13,0)</f>
        <v>0.5</v>
      </c>
      <c r="L53" s="715"/>
      <c r="M53" s="89"/>
      <c r="N53" s="62"/>
      <c r="O53" s="62"/>
      <c r="P53" s="62"/>
      <c r="Q53" s="62"/>
      <c r="R53" s="62"/>
      <c r="S53" s="62"/>
    </row>
    <row r="54" spans="2:19" s="52" customFormat="1" ht="99.75" customHeight="1" x14ac:dyDescent="0.2">
      <c r="B54" s="155">
        <f t="shared" si="0"/>
        <v>40</v>
      </c>
      <c r="C54" s="152" t="str">
        <f>+IFERROR(INDEX(Hoja1!$A$2:$A$82,MATCH(J54,Hoja1!$H$2:$H$82,0)),"")</f>
        <v>9.2</v>
      </c>
      <c r="D54" s="153" t="str">
        <f>IFERROR(VLOOKUP(C54,Hoja1!$A$2:$H$82,4,0),"")</f>
        <v>Evaluación de riesgos</v>
      </c>
      <c r="E54" s="153" t="str">
        <f>+IFERROR(VLOOKUP(C54,Hoja1!$A$1:$J$82,10,0),"")</f>
        <v xml:space="preserve">Identificación y análisis de cambios significativos </v>
      </c>
      <c r="F54" s="153" t="str">
        <f>+IFERROR(VLOOKUP(C54,Hoja1!$A$1:$I$82,3,0),"")</f>
        <v xml:space="preserve"> La Alta Dirección analiza los riesgos asociados a actividades tercerizadas, regionales u otras figuras externas que afecten la prestación del servicio a los usuarios, basados en los informes de la segunda y tercera linea de defensa</v>
      </c>
      <c r="G54" s="152">
        <f>+IFERROR(VLOOKUP(C54,Hoja1!$A$1:$K$82,11,0),"")</f>
        <v>3</v>
      </c>
      <c r="H54" s="154">
        <f>+IFERROR(VLOOKUP(C54,Hoja1!$A$1:$L$82,12,0),"")</f>
        <v>1</v>
      </c>
      <c r="I54" s="145" t="str">
        <f t="shared" si="1"/>
        <v>Se encuentra presente y funcionando, pero requiere acciones dirigidas a fortalecer  o mejorar su diseño y/o ejecucion.</v>
      </c>
      <c r="J54" s="93">
        <v>40</v>
      </c>
      <c r="K54" s="143">
        <f>+VLOOKUP(C54,Hoja1!$A$1:$M$82,13,0)</f>
        <v>0.5</v>
      </c>
      <c r="L54" s="715"/>
      <c r="M54" s="89"/>
      <c r="N54" s="62"/>
      <c r="O54" s="62"/>
      <c r="P54" s="62"/>
      <c r="Q54" s="62"/>
      <c r="R54" s="62"/>
      <c r="S54" s="62"/>
    </row>
    <row r="55" spans="2:19" s="52" customFormat="1" ht="99.75" customHeight="1" x14ac:dyDescent="0.2">
      <c r="B55" s="151">
        <f t="shared" si="0"/>
        <v>41</v>
      </c>
      <c r="C55" s="152" t="str">
        <f>+IFERROR(INDEX(Hoja1!$A$2:$A$82,MATCH(J55,Hoja1!$H$2:$H$82,0)),"")</f>
        <v>7.4</v>
      </c>
      <c r="D55" s="153" t="str">
        <f>IFERROR(VLOOKUP(C55,Hoja1!$A$2:$H$82,4,0),"")</f>
        <v>Evaluación de riesgos</v>
      </c>
      <c r="E55" s="153" t="str">
        <f>+IFERROR(VLOOKUP(C55,Hoja1!$A$1:$J$82,10,0),"")</f>
        <v xml:space="preserve">Identificación y análisis de riesgos (Analiza factores internos y externos; Implica a los niveles apropiados de la dirección; Determina cómo responder a los riesgos; Determina la importancia de los riesgos). </v>
      </c>
      <c r="F55" s="153" t="str">
        <f>+IFERROR(VLOOKUP(C55,Hoja1!$A$1:$I$82,3,0),"")</f>
        <v xml:space="preserve"> Cuando se detectan materializaciones de riesgo, se definen los cursos de acción en relación con la revisión y actualización del mapa de riesgos correspondiente</v>
      </c>
      <c r="G55" s="152">
        <f>+IFERROR(VLOOKUP(C55,Hoja1!$A$1:$K$82,11,0),"")</f>
        <v>3</v>
      </c>
      <c r="H55" s="154">
        <f>+IFERROR(VLOOKUP(C55,Hoja1!$A$1:$L$82,12,0),"")</f>
        <v>3</v>
      </c>
      <c r="I55" s="145" t="str">
        <f t="shared" si="1"/>
        <v>Se encuentra presente y funciona correctamente, por lo tanto se requiere acciones o actividades  dirigidas a su mantenimiento dentro del marco de las lineas de defensa.</v>
      </c>
      <c r="J55" s="93">
        <v>41</v>
      </c>
      <c r="K55" s="143">
        <f>+VLOOKUP(C55,Hoja1!$A$1:$M$82,13,0)</f>
        <v>1</v>
      </c>
      <c r="L55" s="715"/>
      <c r="M55" s="89"/>
      <c r="N55" s="62"/>
      <c r="O55" s="62"/>
      <c r="P55" s="62"/>
      <c r="Q55" s="62"/>
      <c r="R55" s="62"/>
      <c r="S55" s="62"/>
    </row>
    <row r="56" spans="2:19" s="52" customFormat="1" ht="99.75" customHeight="1" x14ac:dyDescent="0.2">
      <c r="B56" s="155">
        <f t="shared" si="0"/>
        <v>42</v>
      </c>
      <c r="C56" s="152" t="str">
        <f>+IFERROR(INDEX(Hoja1!$A$2:$A$82,MATCH(J56,Hoja1!$H$2:$H$82,0)),"")</f>
        <v>11.1</v>
      </c>
      <c r="D56" s="153" t="str">
        <f>IFERROR(VLOOKUP(C56,Hoja1!$A$2:$H$82,4,0),"")</f>
        <v>Actividades de control</v>
      </c>
      <c r="E56" s="153" t="str">
        <f>+IFERROR(VLOOKUP(C56,Hoja1!$A$1:$J$82,10,0),"")</f>
        <v>Seleccionar y Desarrolla controles generales sobre TI para apoyar la consecución de los objetivos .</v>
      </c>
      <c r="F56" s="153" t="str">
        <f>+IFERROR(VLOOKUP(C56,Hoja1!$A$1:$I$82,3,0),"")</f>
        <v xml:space="preserve"> La entidad establece actividades de control relevantes sobre las infraestructuras tecnológicas; los procesos de gestión de la seguridad y sobre los procesos de adquisición, desarrollo y mantenimiento de tecnologías</v>
      </c>
      <c r="G56" s="152">
        <f>+IFERROR(VLOOKUP(C56,Hoja1!$A$1:$K$82,11,0),"")</f>
        <v>1</v>
      </c>
      <c r="H56" s="154">
        <f>+IFERROR(VLOOKUP(C56,Hoja1!$A$1:$L$82,12,0),"")</f>
        <v>1</v>
      </c>
      <c r="I56" s="145" t="str">
        <f t="shared" si="1"/>
        <v>No se encuentra presente  por lo tanto no esta funcionando, lo que hace que se requieran acciones dirigidas a fortalecer su diseño y puesta en marcha</v>
      </c>
      <c r="J56" s="93">
        <v>42</v>
      </c>
      <c r="K56" s="143">
        <f>+VLOOKUP(C56,Hoja1!$A$1:$M$82,13,0)</f>
        <v>0</v>
      </c>
      <c r="L56" s="715">
        <f>+AVERAGE(K56:K67)</f>
        <v>0.375</v>
      </c>
      <c r="M56" s="89"/>
      <c r="N56" s="62"/>
      <c r="O56" s="62"/>
      <c r="P56" s="62"/>
      <c r="Q56" s="62"/>
      <c r="R56" s="62"/>
      <c r="S56" s="62"/>
    </row>
    <row r="57" spans="2:19" s="52" customFormat="1" ht="99.75" customHeight="1" x14ac:dyDescent="0.2">
      <c r="B57" s="151">
        <f t="shared" si="0"/>
        <v>43</v>
      </c>
      <c r="C57" s="152" t="str">
        <f>+IFERROR(INDEX(Hoja1!$A$2:$A$82,MATCH(J57,Hoja1!$H$2:$H$82,0)),"")</f>
        <v>11.2</v>
      </c>
      <c r="D57" s="153" t="str">
        <f>IFERROR(VLOOKUP(C57,Hoja1!$A$2:$H$82,4,0),"")</f>
        <v>Actividades de control</v>
      </c>
      <c r="E57" s="153" t="str">
        <f>+IFERROR(VLOOKUP(C57,Hoja1!$A$1:$J$82,10,0),"")</f>
        <v>Seleccionar y Desarrolla controles generales sobre TI para apoyar la consecución de los objetivos .</v>
      </c>
      <c r="F57" s="153" t="str">
        <f>+IFERROR(VLOOKUP(C57,Hoja1!$A$1:$I$82,3,0),"")</f>
        <v xml:space="preserve">  Para los proveedores de tecnología  selecciona y desarrolla actividades de control internas sobre las actividades realizadas por el proveedor de servicios</v>
      </c>
      <c r="G57" s="152">
        <f>+IFERROR(VLOOKUP(C57,Hoja1!$A$1:$K$82,11,0),"")</f>
        <v>1</v>
      </c>
      <c r="H57" s="154">
        <f>+IFERROR(VLOOKUP(C57,Hoja1!$A$1:$L$82,12,0),"")</f>
        <v>1</v>
      </c>
      <c r="I57" s="145" t="str">
        <f t="shared" si="1"/>
        <v>No se encuentra presente  por lo tanto no esta funcionando, lo que hace que se requieran acciones dirigidas a fortalecer su diseño y puesta en marcha</v>
      </c>
      <c r="J57" s="93">
        <v>43</v>
      </c>
      <c r="K57" s="143">
        <f>+VLOOKUP(C57,Hoja1!$A$1:$M$82,13,0)</f>
        <v>0</v>
      </c>
      <c r="L57" s="715"/>
      <c r="M57" s="89"/>
      <c r="N57" s="62"/>
      <c r="O57" s="62"/>
      <c r="P57" s="62"/>
      <c r="Q57" s="62"/>
      <c r="R57" s="62"/>
      <c r="S57" s="62"/>
    </row>
    <row r="58" spans="2:19" s="52" customFormat="1" ht="99.75" customHeight="1" x14ac:dyDescent="0.2">
      <c r="B58" s="151">
        <f t="shared" si="0"/>
        <v>44</v>
      </c>
      <c r="C58" s="152" t="str">
        <f>+IFERROR(INDEX(Hoja1!$A$2:$A$82,MATCH(J58,Hoja1!$H$2:$H$82,0)),"")</f>
        <v>11.3</v>
      </c>
      <c r="D58" s="153" t="str">
        <f>IFERROR(VLOOKUP(C58,Hoja1!$A$2:$H$82,4,0),"")</f>
        <v>Actividades de control</v>
      </c>
      <c r="E58" s="153" t="str">
        <f>+IFERROR(VLOOKUP(C58,Hoja1!$A$1:$J$82,10,0),"")</f>
        <v>Seleccionar y Desarrolla controles generales sobre TI para apoyar la consecución de los objetivos .</v>
      </c>
      <c r="F58" s="153" t="str">
        <f>+IFERROR(VLOOKUP(C58,Hoja1!$A$1:$I$82,3,0),"")</f>
        <v xml:space="preserve"> Se cuenta con matrices de roles y usuarios siguiendo los principios de segregación de funciones.</v>
      </c>
      <c r="G58" s="152">
        <f>+IFERROR(VLOOKUP(C58,Hoja1!$A$1:$K$82,11,0),"")</f>
        <v>1</v>
      </c>
      <c r="H58" s="154">
        <f>+IFERROR(VLOOKUP(C58,Hoja1!$A$1:$L$82,12,0),"")</f>
        <v>1</v>
      </c>
      <c r="I58" s="145" t="str">
        <f t="shared" si="1"/>
        <v>No se encuentra presente  por lo tanto no esta funcionando, lo que hace que se requieran acciones dirigidas a fortalecer su diseño y puesta en marcha</v>
      </c>
      <c r="J58" s="93">
        <v>44</v>
      </c>
      <c r="K58" s="143">
        <f>+VLOOKUP(C58,Hoja1!$A$1:$M$82,13,0)</f>
        <v>0</v>
      </c>
      <c r="L58" s="715"/>
      <c r="M58" s="89"/>
      <c r="N58" s="62"/>
      <c r="O58" s="62"/>
      <c r="P58" s="62"/>
      <c r="Q58" s="62"/>
      <c r="R58" s="62"/>
      <c r="S58" s="62"/>
    </row>
    <row r="59" spans="2:19" s="52" customFormat="1" ht="99.75" customHeight="1" x14ac:dyDescent="0.2">
      <c r="B59" s="151">
        <f t="shared" si="0"/>
        <v>45</v>
      </c>
      <c r="C59" s="152" t="str">
        <f>+IFERROR(INDEX(Hoja1!$A$2:$A$82,MATCH(J59,Hoja1!$H$2:$H$82,0)),"")</f>
        <v>10.1</v>
      </c>
      <c r="D59" s="153" t="str">
        <f>IFERROR(VLOOKUP(C59,Hoja1!$A$2:$H$82,4,0),"")</f>
        <v>Actividades de control</v>
      </c>
      <c r="E59" s="153" t="str">
        <f>+IFERROR(VLOOKUP(C59,Hoja1!$A$1:$J$82,10,0),"")</f>
        <v>Diseño y desarrollo de actividades de control (Integra el desarrollo de controles con la evaluación de riesgos; tiene en cuenta a qué nivel se aplican las actividades; facilita la segregación de funciones).</v>
      </c>
      <c r="F59" s="153" t="str">
        <f>+IFERROR(VLOOKUP(C59,Hoja1!$A$1:$I$82,3,0),"")</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G59" s="152">
        <f>+IFERROR(VLOOKUP(C59,Hoja1!$A$1:$K$82,11,0),"")</f>
        <v>3</v>
      </c>
      <c r="H59" s="154">
        <f>+IFERROR(VLOOKUP(C59,Hoja1!$A$1:$L$82,12,0),"")</f>
        <v>1</v>
      </c>
      <c r="I59" s="145" t="str">
        <f t="shared" si="1"/>
        <v>Se encuentra presente y funcionando, pero requiere acciones dirigidas a fortalecer  o mejorar su diseño y/o ejecucion.</v>
      </c>
      <c r="J59" s="93">
        <v>45</v>
      </c>
      <c r="K59" s="143">
        <f>+VLOOKUP(C59,Hoja1!$A$1:$M$82,13,0)</f>
        <v>0.5</v>
      </c>
      <c r="L59" s="715"/>
      <c r="M59" s="89"/>
      <c r="N59" s="62"/>
      <c r="O59" s="62"/>
      <c r="P59" s="62"/>
      <c r="Q59" s="62"/>
      <c r="R59" s="62"/>
      <c r="S59" s="62"/>
    </row>
    <row r="60" spans="2:19" s="52" customFormat="1" ht="99.75" customHeight="1" x14ac:dyDescent="0.2">
      <c r="B60" s="155">
        <f t="shared" si="0"/>
        <v>46</v>
      </c>
      <c r="C60" s="152" t="str">
        <f>+IFERROR(INDEX(Hoja1!$A$2:$A$82,MATCH(J60,Hoja1!$H$2:$H$82,0)),"")</f>
        <v>10.2</v>
      </c>
      <c r="D60" s="153" t="str">
        <f>IFERROR(VLOOKUP(C60,Hoja1!$A$2:$H$82,4,0),"")</f>
        <v>Actividades de control</v>
      </c>
      <c r="E60" s="153" t="str">
        <f>+IFERROR(VLOOKUP(C60,Hoja1!$A$1:$J$82,10,0),"")</f>
        <v>Diseño y desarrollo de actividades de control (Integra el desarrollo de controles con la evaluación de riesgos; tiene en cuenta a qué nivel se aplican las actividades; facilita la segregación de funciones).</v>
      </c>
      <c r="F60" s="153" t="str">
        <f>+IFERROR(VLOOKUP(C60,Hoja1!$A$1:$I$82,3,0),"")</f>
        <v xml:space="preserve"> Se han idenfificado y documentado las situaciones específicas en donde no es posible segregar adecuadamente las funciones (ej: falta de personal, presupuesto), con el fin de definir actividades de control alternativas para cubrir los riesgos identificados.</v>
      </c>
      <c r="G60" s="152">
        <f>+IFERROR(VLOOKUP(C60,Hoja1!$A$1:$K$82,11,0),"")</f>
        <v>2</v>
      </c>
      <c r="H60" s="154">
        <f>+IFERROR(VLOOKUP(C60,Hoja1!$A$1:$L$82,12,0),"")</f>
        <v>1</v>
      </c>
      <c r="I60" s="145" t="str">
        <f t="shared" si="1"/>
        <v>Se encuentra presente y funcionando, pero requiere acciones dirigidas a fortalecer  o mejorar su diseño y/o ejecucion.</v>
      </c>
      <c r="J60" s="93">
        <v>46</v>
      </c>
      <c r="K60" s="143">
        <f>+VLOOKUP(C60,Hoja1!$A$1:$M$82,13,0)</f>
        <v>0.5</v>
      </c>
      <c r="L60" s="715"/>
      <c r="M60" s="89"/>
      <c r="N60" s="62"/>
      <c r="O60" s="62"/>
      <c r="P60" s="62"/>
      <c r="Q60" s="62"/>
      <c r="R60" s="62"/>
      <c r="S60" s="62"/>
    </row>
    <row r="61" spans="2:19" s="52" customFormat="1" ht="99.75" customHeight="1" x14ac:dyDescent="0.2">
      <c r="B61" s="151">
        <f t="shared" si="0"/>
        <v>47</v>
      </c>
      <c r="C61" s="152" t="str">
        <f>+IFERROR(INDEX(Hoja1!$A$2:$A$82,MATCH(J61,Hoja1!$H$2:$H$82,0)),"")</f>
        <v>10.3</v>
      </c>
      <c r="D61" s="153" t="str">
        <f>IFERROR(VLOOKUP(C61,Hoja1!$A$2:$H$82,4,0),"")</f>
        <v>Actividades de control</v>
      </c>
      <c r="E61" s="153" t="str">
        <f>+IFERROR(VLOOKUP(C61,Hoja1!$A$1:$J$82,10,0),"")</f>
        <v>Diseño y desarrollo de actividades de control (Integra el desarrollo de controles con la evaluación de riesgos; tiene en cuenta a qué nivel se aplican las actividades; facilita la segregación de funciones).</v>
      </c>
      <c r="F61" s="153" t="str">
        <f>+IFERROR(VLOOKUP(C61,Hoja1!$A$1:$I$82,3,0),"")</f>
        <v xml:space="preserve"> El diseño de otros  sistemas de gestión (bajo normas o estándares internacionales como la ISO), se intregan de forma adecuada a la estructura de control de la entidad</v>
      </c>
      <c r="G61" s="152">
        <f>+IFERROR(VLOOKUP(C61,Hoja1!$A$1:$K$82,11,0),"")</f>
        <v>3</v>
      </c>
      <c r="H61" s="154">
        <f>+IFERROR(VLOOKUP(C61,Hoja1!$A$1:$L$82,12,0),"")</f>
        <v>2</v>
      </c>
      <c r="I61" s="145" t="str">
        <f t="shared" si="1"/>
        <v>Se encuentra presente y funcionando, pero requiere acciones dirigidas a fortalecer  o mejorar su diseño y/o ejecucion.</v>
      </c>
      <c r="J61" s="93">
        <v>47</v>
      </c>
      <c r="K61" s="143">
        <f>+VLOOKUP(C61,Hoja1!$A$1:$M$82,13,0)</f>
        <v>0.5</v>
      </c>
      <c r="L61" s="715"/>
      <c r="M61" s="89"/>
      <c r="N61" s="62"/>
      <c r="O61" s="62"/>
      <c r="P61" s="62"/>
      <c r="Q61" s="62"/>
      <c r="R61" s="62"/>
      <c r="S61" s="62"/>
    </row>
    <row r="62" spans="2:19" s="52" customFormat="1" ht="99.75" customHeight="1" x14ac:dyDescent="0.2">
      <c r="B62" s="155">
        <f t="shared" si="0"/>
        <v>48</v>
      </c>
      <c r="C62" s="152" t="str">
        <f>+IFERROR(INDEX(Hoja1!$A$2:$A$82,MATCH(J62,Hoja1!$H$2:$H$82,0)),"")</f>
        <v>11.4</v>
      </c>
      <c r="D62" s="153" t="str">
        <f>IFERROR(VLOOKUP(C62,Hoja1!$A$2:$H$82,4,0),"")</f>
        <v>Actividades de control</v>
      </c>
      <c r="E62" s="153" t="str">
        <f>+IFERROR(VLOOKUP(C62,Hoja1!$A$1:$J$82,10,0),"")</f>
        <v>Seleccionar y Desarrolla controles generales sobre TI para apoyar la consecución de los objetivos .</v>
      </c>
      <c r="F62" s="153" t="str">
        <f>+IFERROR(VLOOKUP(C62,Hoja1!$A$1:$I$82,3,0),"")</f>
        <v xml:space="preserve"> Se cuenta con información de la 3a línea de defensa, como evaluador independiente en relación con los controles implementados por el proveedor de servicios, para  asegurar que los riesgos relacionados se mitigan.</v>
      </c>
      <c r="G62" s="152">
        <f>+IFERROR(VLOOKUP(C62,Hoja1!$A$1:$K$82,11,0),"")</f>
        <v>3</v>
      </c>
      <c r="H62" s="154">
        <f>+IFERROR(VLOOKUP(C62,Hoja1!$A$1:$L$82,12,0),"")</f>
        <v>2</v>
      </c>
      <c r="I62" s="145" t="str">
        <f t="shared" si="1"/>
        <v>Se encuentra presente y funcionando, pero requiere acciones dirigidas a fortalecer  o mejorar su diseño y/o ejecucion.</v>
      </c>
      <c r="J62" s="93">
        <v>48</v>
      </c>
      <c r="K62" s="143">
        <f>+VLOOKUP(C62,Hoja1!$A$1:$M$82,13,0)</f>
        <v>0.5</v>
      </c>
      <c r="L62" s="715"/>
      <c r="M62" s="89"/>
      <c r="N62" s="62"/>
      <c r="O62" s="62"/>
      <c r="P62" s="62"/>
      <c r="Q62" s="62"/>
      <c r="R62" s="62"/>
      <c r="S62" s="62"/>
    </row>
    <row r="63" spans="2:19" s="52" customFormat="1" ht="99.75" customHeight="1" x14ac:dyDescent="0.2">
      <c r="B63" s="151">
        <f t="shared" si="0"/>
        <v>49</v>
      </c>
      <c r="C63" s="152" t="str">
        <f>+IFERROR(INDEX(Hoja1!$A$2:$A$82,MATCH(J63,Hoja1!$H$2:$H$82,0)),"")</f>
        <v>12.1</v>
      </c>
      <c r="D63" s="153" t="str">
        <f>IFERROR(VLOOKUP(C63,Hoja1!$A$2:$H$82,4,0),"")</f>
        <v>Actividades de control</v>
      </c>
      <c r="E63" s="153" t="str">
        <f>+IFERROR(VLOOKUP(C63,Hoja1!$A$1:$J$82,10,0),"")</f>
        <v>Despliegue de políticas y procedimientos (Establece responsabilidades sobre la ejecución de las políticas y procedimientos; Adopta medidas correctivas; Revisa las políticas y procedimientos).</v>
      </c>
      <c r="F63" s="153" t="str">
        <f>+IFERROR(VLOOKUP(C63,Hoja1!$A$1:$I$82,3,0),"")</f>
        <v xml:space="preserve"> Se evalúa la actualización de procesos, procedimientos, políticas de operación, instructivos, manuales u otras herramientas para garantizar la aplicación adecuada de las principales actividades de control.
</v>
      </c>
      <c r="G63" s="152">
        <f>+IFERROR(VLOOKUP(C63,Hoja1!$A$1:$K$82,11,0),"")</f>
        <v>3</v>
      </c>
      <c r="H63" s="154">
        <f>+IFERROR(VLOOKUP(C63,Hoja1!$A$1:$L$82,12,0),"")</f>
        <v>2</v>
      </c>
      <c r="I63" s="145" t="str">
        <f t="shared" si="1"/>
        <v>Se encuentra presente y funcionando, pero requiere acciones dirigidas a fortalecer  o mejorar su diseño y/o ejecucion.</v>
      </c>
      <c r="J63" s="93">
        <v>49</v>
      </c>
      <c r="K63" s="143">
        <f>+VLOOKUP(C63,Hoja1!$A$1:$M$82,13,0)</f>
        <v>0.5</v>
      </c>
      <c r="L63" s="715"/>
      <c r="M63" s="89"/>
      <c r="N63" s="62"/>
      <c r="O63" s="62"/>
      <c r="P63" s="62"/>
      <c r="Q63" s="62"/>
      <c r="R63" s="62"/>
      <c r="S63" s="62"/>
    </row>
    <row r="64" spans="2:19" s="52" customFormat="1" ht="99.75" customHeight="1" x14ac:dyDescent="0.2">
      <c r="B64" s="151">
        <f t="shared" si="0"/>
        <v>50</v>
      </c>
      <c r="C64" s="152" t="str">
        <f>+IFERROR(INDEX(Hoja1!$A$2:$A$82,MATCH(J64,Hoja1!$H$2:$H$82,0)),"")</f>
        <v>12.2</v>
      </c>
      <c r="D64" s="153" t="str">
        <f>IFERROR(VLOOKUP(C64,Hoja1!$A$2:$H$82,4,0),"")</f>
        <v>Actividades de control</v>
      </c>
      <c r="E64" s="153" t="str">
        <f>+IFERROR(VLOOKUP(C64,Hoja1!$A$1:$J$82,10,0),"")</f>
        <v>Despliegue de políticas y procedimientos (Establece responsabilidades sobre la ejecución de las políticas y procedimientos; Adopta medidas correctivas; Revisa las políticas y procedimientos).</v>
      </c>
      <c r="F64" s="153" t="str">
        <f>+IFERROR(VLOOKUP(C64,Hoja1!$A$1:$I$82,3,0),"")</f>
        <v xml:space="preserve"> El diseño de controles se evalúa frente a la gestión del riesgo</v>
      </c>
      <c r="G64" s="152">
        <f>+IFERROR(VLOOKUP(C64,Hoja1!$A$1:$K$82,11,0),"")</f>
        <v>3</v>
      </c>
      <c r="H64" s="154">
        <f>+IFERROR(VLOOKUP(C64,Hoja1!$A$1:$L$82,12,0),"")</f>
        <v>2</v>
      </c>
      <c r="I64" s="145" t="str">
        <f t="shared" si="1"/>
        <v>Se encuentra presente y funcionando, pero requiere acciones dirigidas a fortalecer  o mejorar su diseño y/o ejecucion.</v>
      </c>
      <c r="J64" s="93">
        <v>50</v>
      </c>
      <c r="K64" s="143">
        <f>+VLOOKUP(C64,Hoja1!$A$1:$M$82,13,0)</f>
        <v>0.5</v>
      </c>
      <c r="L64" s="715"/>
      <c r="M64" s="89"/>
      <c r="N64" s="62"/>
      <c r="O64" s="62"/>
      <c r="P64" s="62"/>
      <c r="Q64" s="62"/>
      <c r="R64" s="62"/>
      <c r="S64" s="62"/>
    </row>
    <row r="65" spans="2:19" s="52" customFormat="1" ht="99.75" customHeight="1" x14ac:dyDescent="0.2">
      <c r="B65" s="151">
        <f t="shared" si="0"/>
        <v>51</v>
      </c>
      <c r="C65" s="152" t="str">
        <f>+IFERROR(INDEX(Hoja1!$A$2:$A$82,MATCH(J65,Hoja1!$H$2:$H$82,0)),"")</f>
        <v>12.3</v>
      </c>
      <c r="D65" s="153" t="str">
        <f>IFERROR(VLOOKUP(C65,Hoja1!$A$2:$H$82,4,0),"")</f>
        <v>Actividades de control</v>
      </c>
      <c r="E65" s="153" t="str">
        <f>+IFERROR(VLOOKUP(C65,Hoja1!$A$1:$J$82,10,0),"")</f>
        <v>Despliegue de políticas y procedimientos (Establece responsabilidades sobre la ejecución de las políticas y procedimientos; Adopta medidas correctivas; Revisa las políticas y procedimientos).</v>
      </c>
      <c r="F65" s="153" t="str">
        <f>+IFERROR(VLOOKUP(C65,Hoja1!$A$1:$I$82,3,0),"")</f>
        <v xml:space="preserve"> Monitoreo a los riesgos acorde con la política de administración de riesgo establecida para la entidad.</v>
      </c>
      <c r="G65" s="152">
        <f>+IFERROR(VLOOKUP(C65,Hoja1!$A$1:$K$82,11,0),"")</f>
        <v>3</v>
      </c>
      <c r="H65" s="154">
        <f>+IFERROR(VLOOKUP(C65,Hoja1!$A$1:$L$82,12,0),"")</f>
        <v>2</v>
      </c>
      <c r="I65" s="145" t="str">
        <f t="shared" si="1"/>
        <v>Se encuentra presente y funcionando, pero requiere acciones dirigidas a fortalecer  o mejorar su diseño y/o ejecucion.</v>
      </c>
      <c r="J65" s="93">
        <v>51</v>
      </c>
      <c r="K65" s="143">
        <f>+VLOOKUP(C65,Hoja1!$A$1:$M$82,13,0)</f>
        <v>0.5</v>
      </c>
      <c r="L65" s="715"/>
      <c r="M65" s="89"/>
      <c r="N65" s="62"/>
      <c r="O65" s="62"/>
      <c r="P65" s="62"/>
      <c r="Q65" s="62"/>
      <c r="R65" s="62"/>
      <c r="S65" s="62"/>
    </row>
    <row r="66" spans="2:19" s="52" customFormat="1" ht="99.75" customHeight="1" x14ac:dyDescent="0.2">
      <c r="B66" s="155">
        <f t="shared" si="0"/>
        <v>52</v>
      </c>
      <c r="C66" s="152" t="str">
        <f>+IFERROR(INDEX(Hoja1!$A$2:$A$82,MATCH(J66,Hoja1!$H$2:$H$82,0)),"")</f>
        <v>12.4</v>
      </c>
      <c r="D66" s="153" t="str">
        <f>IFERROR(VLOOKUP(C66,Hoja1!$A$2:$H$82,4,0),"")</f>
        <v>Actividades de control</v>
      </c>
      <c r="E66" s="153" t="str">
        <f>+IFERROR(VLOOKUP(C66,Hoja1!$A$1:$J$82,10,0),"")</f>
        <v>Despliegue de políticas y procedimientos (Establece responsabilidades sobre la ejecución de las políticas y procedimientos; Adopta medidas correctivas; Revisa las políticas y procedimientos).</v>
      </c>
      <c r="F66" s="153" t="str">
        <f>+IFERROR(VLOOKUP(C66,Hoja1!$A$1:$I$82,3,0),"")</f>
        <v>Verificación de que los responsables estén ejecutando los controles tal como han sido diseñados</v>
      </c>
      <c r="G66" s="152">
        <f>+IFERROR(VLOOKUP(C66,Hoja1!$A$1:$K$82,11,0),"")</f>
        <v>3</v>
      </c>
      <c r="H66" s="154">
        <f>+IFERROR(VLOOKUP(C66,Hoja1!$A$1:$L$82,12,0),"")</f>
        <v>2</v>
      </c>
      <c r="I66" s="145" t="str">
        <f t="shared" si="1"/>
        <v>Se encuentra presente y funcionando, pero requiere acciones dirigidas a fortalecer  o mejorar su diseño y/o ejecucion.</v>
      </c>
      <c r="J66" s="93">
        <v>52</v>
      </c>
      <c r="K66" s="143">
        <f>+VLOOKUP(C66,Hoja1!$A$1:$M$82,13,0)</f>
        <v>0.5</v>
      </c>
      <c r="L66" s="715"/>
      <c r="M66" s="89"/>
      <c r="N66" s="62"/>
      <c r="O66" s="62"/>
      <c r="P66" s="62"/>
      <c r="Q66" s="62"/>
      <c r="R66" s="62"/>
      <c r="S66" s="62"/>
    </row>
    <row r="67" spans="2:19" s="52" customFormat="1" ht="99.75" customHeight="1" x14ac:dyDescent="0.2">
      <c r="B67" s="151">
        <f t="shared" si="0"/>
        <v>53</v>
      </c>
      <c r="C67" s="152" t="str">
        <f>+IFERROR(INDEX(Hoja1!$A$2:$A$82,MATCH(J67,Hoja1!$H$2:$H$82,0)),"")</f>
        <v>12.5</v>
      </c>
      <c r="D67" s="153" t="str">
        <f>IFERROR(VLOOKUP(C67,Hoja1!$A$2:$H$82,4,0),"")</f>
        <v>Actividades de control</v>
      </c>
      <c r="E67" s="153" t="str">
        <f>+IFERROR(VLOOKUP(C67,Hoja1!$A$1:$J$82,10,0),"")</f>
        <v>Despliegue de políticas y procedimientos (Establece responsabilidades sobre la ejecución de las políticas y procedimientos; Adopta medidas correctivas; Revisa las políticas y procedimientos).</v>
      </c>
      <c r="F67" s="153" t="str">
        <f>+IFERROR(VLOOKUP(C67,Hoja1!$A$1:$I$82,3,0),"")</f>
        <v xml:space="preserve"> Se evalúa la adecuación de los controles a las especificidades de cada proceso, considerando cambios en regulaciones, estructuras internas u otros aspectos que determinen cambios en su diseño</v>
      </c>
      <c r="G67" s="152">
        <f>+IFERROR(VLOOKUP(C67,Hoja1!$A$1:$K$82,11,0),"")</f>
        <v>2</v>
      </c>
      <c r="H67" s="154">
        <f>+IFERROR(VLOOKUP(C67,Hoja1!$A$1:$L$82,12,0),"")</f>
        <v>2</v>
      </c>
      <c r="I67" s="145" t="str">
        <f t="shared" si="1"/>
        <v>Se encuentra presente y funcionando, pero requiere acciones dirigidas a fortalecer  o mejorar su diseño y/o ejecucion.</v>
      </c>
      <c r="J67" s="93">
        <v>53</v>
      </c>
      <c r="K67" s="143">
        <f>+VLOOKUP(C67,Hoja1!$A$1:$M$82,13,0)</f>
        <v>0.5</v>
      </c>
      <c r="L67" s="715"/>
      <c r="M67" s="89"/>
      <c r="N67" s="62"/>
      <c r="O67" s="62"/>
      <c r="P67" s="62"/>
      <c r="Q67" s="62"/>
      <c r="R67" s="62"/>
      <c r="S67" s="62"/>
    </row>
    <row r="68" spans="2:19" s="52" customFormat="1" ht="99.75" customHeight="1" x14ac:dyDescent="0.2">
      <c r="B68" s="155">
        <f t="shared" si="0"/>
        <v>54</v>
      </c>
      <c r="C68" s="152" t="str">
        <f>+IFERROR(INDEX(Hoja1!$A$2:$A$82,MATCH(J68,Hoja1!$H$2:$H$82,0)),"")</f>
        <v>13.2</v>
      </c>
      <c r="D68" s="153" t="str">
        <f>IFERROR(VLOOKUP(C68,Hoja1!$A$2:$H$82,4,0),"")</f>
        <v>Info y Comunicación</v>
      </c>
      <c r="E68" s="153" t="str">
        <f>+IFERROR(VLOOKUP(C68,Hoja1!$A$1:$J$82,10,0),"")</f>
        <v>Utilización de información relevante (Identifica requisitos de información; Capta fuentes de datos internas y externas; Procesa datos relevantes y los transforma en información).</v>
      </c>
      <c r="F68" s="153" t="str">
        <f>+IFERROR(VLOOKUP(C68,Hoja1!$A$1:$I$82,3,0),"")</f>
        <v xml:space="preserve"> La entidad cuenta con el inventario de información relevante (interno/externa) y cuenta con un mecanismo que permita su actualización</v>
      </c>
      <c r="G68" s="152">
        <f>+IFERROR(VLOOKUP(C68,Hoja1!$A$1:$K$82,11,0),"")</f>
        <v>1</v>
      </c>
      <c r="H68" s="154">
        <f>+IFERROR(VLOOKUP(C68,Hoja1!$A$1:$L$82,12,0),"")</f>
        <v>1</v>
      </c>
      <c r="I68" s="145" t="str">
        <f t="shared" si="1"/>
        <v>No se encuentra presente  por lo tanto no esta funcionando, lo que hace que se requieran acciones dirigidas a fortalecer su diseño y puesta en marcha</v>
      </c>
      <c r="J68" s="93">
        <v>54</v>
      </c>
      <c r="K68" s="143">
        <f>+VLOOKUP(C68,Hoja1!$A$1:$M$82,13,0)</f>
        <v>0</v>
      </c>
      <c r="L68" s="715">
        <f>+AVERAGE(K68:K81)</f>
        <v>0.4642857142857143</v>
      </c>
      <c r="M68" s="89"/>
      <c r="N68" s="62"/>
      <c r="O68" s="62"/>
      <c r="P68" s="62"/>
      <c r="Q68" s="62"/>
      <c r="R68" s="62"/>
      <c r="S68" s="62"/>
    </row>
    <row r="69" spans="2:19" s="52" customFormat="1" ht="99.75" customHeight="1" x14ac:dyDescent="0.2">
      <c r="B69" s="151">
        <f t="shared" si="0"/>
        <v>55</v>
      </c>
      <c r="C69" s="152" t="str">
        <f>+IFERROR(INDEX(Hoja1!$A$2:$A$82,MATCH(J69,Hoja1!$H$2:$H$82,0)),"")</f>
        <v>15.5</v>
      </c>
      <c r="D69" s="153" t="str">
        <f>IFERROR(VLOOKUP(C69,Hoja1!$A$2:$H$82,4,0),"")</f>
        <v>Info y Comunicación</v>
      </c>
      <c r="E69" s="153" t="str">
        <f>+IFERROR(VLOOKUP(C69,Hoja1!$A$1:$J$82,10,0),"")</f>
        <v>Comunicación con el exterior (Se comunica con los grupos de valor y con terceros externos interesados; Facilita líneas de comunicación).</v>
      </c>
      <c r="F69" s="153" t="str">
        <f>+IFERROR(VLOOKUP(C69,Hoja1!$A$1:$I$82,3,0),"")</f>
        <v>La entidad analiza periodicamente su caracterización de usuarios o grupos de valor, a fin de actualizarla cuando sea pertinente</v>
      </c>
      <c r="G69" s="152">
        <f>+IFERROR(VLOOKUP(C69,Hoja1!$A$1:$K$82,11,0),"")</f>
        <v>1</v>
      </c>
      <c r="H69" s="154">
        <f>+IFERROR(VLOOKUP(C69,Hoja1!$A$1:$L$82,12,0),"")</f>
        <v>1</v>
      </c>
      <c r="I69" s="145" t="str">
        <f t="shared" si="1"/>
        <v>No se encuentra presente  por lo tanto no esta funcionando, lo que hace que se requieran acciones dirigidas a fortalecer su diseño y puesta en marcha</v>
      </c>
      <c r="J69" s="93">
        <v>55</v>
      </c>
      <c r="K69" s="143">
        <f>+VLOOKUP(C69,Hoja1!$A$1:$M$82,13,0)</f>
        <v>0</v>
      </c>
      <c r="L69" s="715"/>
      <c r="M69" s="89"/>
      <c r="N69" s="62"/>
      <c r="O69" s="62"/>
      <c r="P69" s="62"/>
      <c r="Q69" s="62"/>
      <c r="R69" s="62"/>
      <c r="S69" s="62"/>
    </row>
    <row r="70" spans="2:19" s="52" customFormat="1" ht="99.75" customHeight="1" x14ac:dyDescent="0.2">
      <c r="B70" s="151">
        <f t="shared" si="0"/>
        <v>56</v>
      </c>
      <c r="C70" s="152" t="str">
        <f>+IFERROR(INDEX(Hoja1!$A$2:$A$82,MATCH(J70,Hoja1!$H$2:$H$82,0)),"")</f>
        <v>15.6</v>
      </c>
      <c r="D70" s="153" t="str">
        <f>IFERROR(VLOOKUP(C70,Hoja1!$A$2:$H$82,4,0),"")</f>
        <v>Info y Comunicación</v>
      </c>
      <c r="E70" s="153" t="str">
        <f>+IFERROR(VLOOKUP(C70,Hoja1!$A$1:$J$82,10,0),"")</f>
        <v>Comunicación con el exterior (Se comunica con los grupos de valor y con terceros externos interesados; Facilita líneas de comunicación).</v>
      </c>
      <c r="F70" s="153" t="str">
        <f>+IFERROR(VLOOKUP(C70,Hoja1!$A$1:$I$82,3,0),"")</f>
        <v>La entidad analiza periodicamente los resultados frente a la evaluación de percepción por parte de los usuarios o grupos de valor para la incorporación de las mejoras correspondientes</v>
      </c>
      <c r="G70" s="152">
        <f>+IFERROR(VLOOKUP(C70,Hoja1!$A$1:$K$82,11,0),"")</f>
        <v>1</v>
      </c>
      <c r="H70" s="154">
        <f>+IFERROR(VLOOKUP(C70,Hoja1!$A$1:$L$82,12,0),"")</f>
        <v>1</v>
      </c>
      <c r="I70" s="145" t="str">
        <f t="shared" si="1"/>
        <v>No se encuentra presente  por lo tanto no esta funcionando, lo que hace que se requieran acciones dirigidas a fortalecer su diseño y puesta en marcha</v>
      </c>
      <c r="J70" s="93">
        <v>56</v>
      </c>
      <c r="K70" s="143">
        <f>+VLOOKUP(C70,Hoja1!$A$1:$M$82,13,0)</f>
        <v>0</v>
      </c>
      <c r="L70" s="715"/>
      <c r="M70" s="89"/>
      <c r="N70" s="62"/>
      <c r="O70" s="62"/>
      <c r="P70" s="62"/>
      <c r="Q70" s="62"/>
      <c r="R70" s="62"/>
      <c r="S70" s="62"/>
    </row>
    <row r="71" spans="2:19" s="52" customFormat="1" ht="99.75" customHeight="1" x14ac:dyDescent="0.2">
      <c r="B71" s="151">
        <f t="shared" si="0"/>
        <v>57</v>
      </c>
      <c r="C71" s="152" t="str">
        <f>+IFERROR(INDEX(Hoja1!$A$2:$A$82,MATCH(J71,Hoja1!$H$2:$H$82,0)),"")</f>
        <v>13.1</v>
      </c>
      <c r="D71" s="153" t="str">
        <f>IFERROR(VLOOKUP(C71,Hoja1!$A$2:$H$82,4,0),"")</f>
        <v>Info y Comunicación</v>
      </c>
      <c r="E71" s="153" t="str">
        <f>+IFERROR(VLOOKUP(C71,Hoja1!$A$1:$J$82,10,0),"")</f>
        <v>Utilización de información relevante (Identifica requisitos de información; Capta fuentes de datos internas y externas; Procesa datos relevantes y los transforma en información).</v>
      </c>
      <c r="F71" s="153" t="str">
        <f>+IFERROR(VLOOKUP(C71,Hoja1!$A$1:$I$82,3,0),"")</f>
        <v>La entidad ha diseñado sistemas de información para capturar y procesar datos y transformarlos en información para alcanzar los requerimientos de información definidos</v>
      </c>
      <c r="G71" s="152">
        <f>+IFERROR(VLOOKUP(C71,Hoja1!$A$1:$K$82,11,0),"")</f>
        <v>3</v>
      </c>
      <c r="H71" s="154">
        <f>+IFERROR(VLOOKUP(C71,Hoja1!$A$1:$L$82,12,0),"")</f>
        <v>2</v>
      </c>
      <c r="I71" s="145" t="str">
        <f t="shared" si="1"/>
        <v>Se encuentra presente y funcionando, pero requiere acciones dirigidas a fortalecer  o mejorar su diseño y/o ejecucion.</v>
      </c>
      <c r="J71" s="93">
        <v>57</v>
      </c>
      <c r="K71" s="143">
        <f>+VLOOKUP(C71,Hoja1!$A$1:$M$82,13,0)</f>
        <v>0.5</v>
      </c>
      <c r="L71" s="715"/>
      <c r="M71" s="89"/>
      <c r="N71" s="62"/>
      <c r="O71" s="62"/>
      <c r="P71" s="62"/>
      <c r="Q71" s="62"/>
      <c r="R71" s="62"/>
      <c r="S71" s="62"/>
    </row>
    <row r="72" spans="2:19" s="52" customFormat="1" ht="99.75" customHeight="1" x14ac:dyDescent="0.2">
      <c r="B72" s="155">
        <f t="shared" si="0"/>
        <v>58</v>
      </c>
      <c r="C72" s="152" t="str">
        <f>+IFERROR(INDEX(Hoja1!$A$2:$A$82,MATCH(J72,Hoja1!$H$2:$H$82,0)),"")</f>
        <v>13.3</v>
      </c>
      <c r="D72" s="153" t="str">
        <f>IFERROR(VLOOKUP(C72,Hoja1!$A$2:$H$82,4,0),"")</f>
        <v>Info y Comunicación</v>
      </c>
      <c r="E72" s="153" t="str">
        <f>+IFERROR(VLOOKUP(C72,Hoja1!$A$1:$J$82,10,0),"")</f>
        <v>Utilización de información relevante (Identifica requisitos de información; Capta fuentes de datos internas y externas; Procesa datos relevantes y los transforma en información).</v>
      </c>
      <c r="F72" s="153" t="str">
        <f>+IFERROR(VLOOKUP(C72,Hoja1!$A$1:$I$82,3,0),"")</f>
        <v>La entidad considera un ámbito amplio de fuentes de datos (internas y externas), para la captura y procesamiento posterior de información clave para la consecución de metas y objetivos</v>
      </c>
      <c r="G72" s="152">
        <f>+IFERROR(VLOOKUP(C72,Hoja1!$A$1:$K$82,11,0),"")</f>
        <v>2</v>
      </c>
      <c r="H72" s="154">
        <f>+IFERROR(VLOOKUP(C72,Hoja1!$A$1:$L$82,12,0),"")</f>
        <v>2</v>
      </c>
      <c r="I72" s="145" t="str">
        <f t="shared" si="1"/>
        <v>Se encuentra presente y funcionando, pero requiere acciones dirigidas a fortalecer  o mejorar su diseño y/o ejecucion.</v>
      </c>
      <c r="J72" s="93">
        <v>58</v>
      </c>
      <c r="K72" s="143">
        <f>+VLOOKUP(C72,Hoja1!$A$1:$M$82,13,0)</f>
        <v>0.5</v>
      </c>
      <c r="L72" s="715"/>
      <c r="M72" s="89"/>
      <c r="N72" s="62"/>
      <c r="O72" s="62"/>
      <c r="P72" s="62"/>
      <c r="Q72" s="62"/>
      <c r="R72" s="62"/>
      <c r="S72" s="62"/>
    </row>
    <row r="73" spans="2:19" s="52" customFormat="1" ht="99.75" customHeight="1" x14ac:dyDescent="0.2">
      <c r="B73" s="151">
        <f t="shared" si="0"/>
        <v>59</v>
      </c>
      <c r="C73" s="152" t="str">
        <f>+IFERROR(INDEX(Hoja1!$A$2:$A$82,MATCH(J73,Hoja1!$H$2:$H$82,0)),"")</f>
        <v>13.4</v>
      </c>
      <c r="D73" s="153" t="str">
        <f>IFERROR(VLOOKUP(C73,Hoja1!$A$2:$H$82,4,0),"")</f>
        <v>Info y Comunicación</v>
      </c>
      <c r="E73" s="153" t="str">
        <f>+IFERROR(VLOOKUP(C73,Hoja1!$A$1:$J$82,10,0),"")</f>
        <v>Utilización de información relevante (Identifica requisitos de información; Capta fuentes de datos internas y externas; Procesa datos relevantes y los transforma en información).</v>
      </c>
      <c r="F73" s="153" t="str">
        <f>+IFERROR(VLOOKUP(C73,Hoja1!$A$1:$I$82,3,0),"")</f>
        <v>La entidad ha desarrollado e implementado actividades de control sobre la integridad, confidencialidad y disponibilidad de los datos e información definidos como relevantes</v>
      </c>
      <c r="G73" s="152">
        <f>+IFERROR(VLOOKUP(C73,Hoja1!$A$1:$K$82,11,0),"")</f>
        <v>2</v>
      </c>
      <c r="H73" s="154">
        <f>+IFERROR(VLOOKUP(C73,Hoja1!$A$1:$L$82,12,0),"")</f>
        <v>1</v>
      </c>
      <c r="I73" s="145" t="str">
        <f t="shared" si="1"/>
        <v>Se encuentra presente y funcionando, pero requiere acciones dirigidas a fortalecer  o mejorar su diseño y/o ejecucion.</v>
      </c>
      <c r="J73" s="93">
        <v>59</v>
      </c>
      <c r="K73" s="143">
        <f>+VLOOKUP(C73,Hoja1!$A$1:$M$82,13,0)</f>
        <v>0.5</v>
      </c>
      <c r="L73" s="715"/>
      <c r="M73" s="89"/>
      <c r="N73" s="62"/>
      <c r="O73" s="62"/>
      <c r="P73" s="62"/>
      <c r="Q73" s="62"/>
      <c r="R73" s="62"/>
      <c r="S73" s="62"/>
    </row>
    <row r="74" spans="2:19" s="52" customFormat="1" ht="99.75" customHeight="1" x14ac:dyDescent="0.2">
      <c r="B74" s="155">
        <f t="shared" si="0"/>
        <v>60</v>
      </c>
      <c r="C74" s="152" t="str">
        <f>+IFERROR(INDEX(Hoja1!$A$2:$A$82,MATCH(J74,Hoja1!$H$2:$H$82,0)),"")</f>
        <v>14.1</v>
      </c>
      <c r="D74" s="153" t="str">
        <f>IFERROR(VLOOKUP(C74,Hoja1!$A$2:$H$82,4,0),"")</f>
        <v>Info y Comunicación</v>
      </c>
      <c r="E74" s="153" t="str">
        <f>+IFERROR(VLOOKUP(C74,Hoja1!$A$1:$J$82,10,0),"")</f>
        <v>Comunicación Interna (Se comunica con el Comité Institucional de Coordinación de Control Interno o su equivalente; Facilita líneas de comunicación en todos los niveles; Selecciona el método de comunicación pertinente).</v>
      </c>
      <c r="F74" s="153" t="str">
        <f>+IFERROR(VLOOKUP(C74,Hoja1!$A$1:$I$82,3,0),"")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74" s="152">
        <f>+IFERROR(VLOOKUP(C74,Hoja1!$A$1:$K$82,11,0),"")</f>
        <v>3</v>
      </c>
      <c r="H74" s="154">
        <f>+IFERROR(VLOOKUP(C74,Hoja1!$A$1:$L$82,12,0),"")</f>
        <v>2</v>
      </c>
      <c r="I74" s="145" t="str">
        <f t="shared" si="1"/>
        <v>Se encuentra presente y funcionando, pero requiere acciones dirigidas a fortalecer  o mejorar su diseño y/o ejecucion.</v>
      </c>
      <c r="J74" s="93">
        <v>60</v>
      </c>
      <c r="K74" s="143">
        <f>+VLOOKUP(C74,Hoja1!$A$1:$M$82,13,0)</f>
        <v>0.5</v>
      </c>
      <c r="L74" s="715"/>
      <c r="M74" s="89"/>
      <c r="N74" s="62"/>
      <c r="O74" s="62"/>
      <c r="P74" s="62"/>
      <c r="Q74" s="62"/>
      <c r="R74" s="62"/>
      <c r="S74" s="62"/>
    </row>
    <row r="75" spans="2:19" s="52" customFormat="1" ht="99.75" customHeight="1" x14ac:dyDescent="0.2">
      <c r="B75" s="151">
        <f t="shared" si="0"/>
        <v>61</v>
      </c>
      <c r="C75" s="152" t="str">
        <f>+IFERROR(INDEX(Hoja1!$A$2:$A$82,MATCH(J75,Hoja1!$H$2:$H$82,0)),"")</f>
        <v>14.2</v>
      </c>
      <c r="D75" s="153" t="str">
        <f>IFERROR(VLOOKUP(C75,Hoja1!$A$2:$H$82,4,0),"")</f>
        <v>Info y Comunicación</v>
      </c>
      <c r="E75" s="153" t="str">
        <f>+IFERROR(VLOOKUP(C75,Hoja1!$A$1:$J$82,10,0),"")</f>
        <v>Comunicación Interna (Se comunica con el Comité Institucional de Coordinación de Control Interno o su equivalente; Facilita líneas de comunicación en todos los niveles; Selecciona el método de comunicación pertinente).</v>
      </c>
      <c r="F75" s="153" t="str">
        <f>+IFERROR(VLOOKUP(C75,Hoja1!$A$1:$I$82,3,0),"")</f>
        <v>La entidad cuenta con políticas de operación relacionadas con la administración de la información (niveles de autoridad y responsabilidad</v>
      </c>
      <c r="G75" s="152">
        <f>+IFERROR(VLOOKUP(C75,Hoja1!$A$1:$K$82,11,0),"")</f>
        <v>2</v>
      </c>
      <c r="H75" s="154">
        <f>+IFERROR(VLOOKUP(C75,Hoja1!$A$1:$L$82,12,0),"")</f>
        <v>2</v>
      </c>
      <c r="I75" s="145" t="str">
        <f t="shared" si="1"/>
        <v>Se encuentra presente y funcionando, pero requiere acciones dirigidas a fortalecer  o mejorar su diseño y/o ejecucion.</v>
      </c>
      <c r="J75" s="93">
        <v>61</v>
      </c>
      <c r="K75" s="143">
        <f>+VLOOKUP(C75,Hoja1!$A$1:$M$82,13,0)</f>
        <v>0.5</v>
      </c>
      <c r="L75" s="715"/>
      <c r="M75" s="89"/>
      <c r="N75" s="62"/>
      <c r="O75" s="62"/>
      <c r="P75" s="62"/>
      <c r="Q75" s="62"/>
      <c r="R75" s="62"/>
      <c r="S75" s="62"/>
    </row>
    <row r="76" spans="2:19" s="52" customFormat="1" ht="99.75" customHeight="1" x14ac:dyDescent="0.2">
      <c r="B76" s="151">
        <f t="shared" si="0"/>
        <v>62</v>
      </c>
      <c r="C76" s="152" t="str">
        <f>+IFERROR(INDEX(Hoja1!$A$2:$A$82,MATCH(J76,Hoja1!$H$2:$H$82,0)),"")</f>
        <v>14.4</v>
      </c>
      <c r="D76" s="153" t="str">
        <f>IFERROR(VLOOKUP(C76,Hoja1!$A$2:$H$82,4,0),"")</f>
        <v>Info y Comunicación</v>
      </c>
      <c r="E76" s="153" t="str">
        <f>+IFERROR(VLOOKUP(C76,Hoja1!$A$1:$J$82,10,0),"")</f>
        <v>Comunicación Interna (Se comunica con el Comité Institucional de Coordinación de Control Interno o su equivalente; Facilita líneas de comunicación en todos los niveles; Selecciona el método de comunicación pertinente).</v>
      </c>
      <c r="F76" s="153" t="str">
        <f>+IFERROR(VLOOKUP(C76,Hoja1!$A$1:$I$82,3,0),"")</f>
        <v>La entidad establece e implementa políticas y procedimientos para facilitar una comunicación interna efectiva</v>
      </c>
      <c r="G76" s="152">
        <f>+IFERROR(VLOOKUP(C76,Hoja1!$A$1:$K$82,11,0),"")</f>
        <v>3</v>
      </c>
      <c r="H76" s="154">
        <f>+IFERROR(VLOOKUP(C76,Hoja1!$A$1:$L$82,12,0),"")</f>
        <v>2</v>
      </c>
      <c r="I76" s="145" t="str">
        <f t="shared" si="1"/>
        <v>Se encuentra presente y funcionando, pero requiere acciones dirigidas a fortalecer  o mejorar su diseño y/o ejecucion.</v>
      </c>
      <c r="J76" s="93">
        <v>62</v>
      </c>
      <c r="K76" s="143">
        <f>+VLOOKUP(C76,Hoja1!$A$1:$M$82,13,0)</f>
        <v>0.5</v>
      </c>
      <c r="L76" s="715"/>
      <c r="M76" s="89"/>
      <c r="N76" s="62"/>
      <c r="O76" s="62"/>
      <c r="P76" s="62"/>
      <c r="Q76" s="62"/>
      <c r="R76" s="62"/>
      <c r="S76" s="62"/>
    </row>
    <row r="77" spans="2:19" s="52" customFormat="1" ht="99.75" customHeight="1" x14ac:dyDescent="0.2">
      <c r="B77" s="151">
        <f t="shared" si="0"/>
        <v>63</v>
      </c>
      <c r="C77" s="152" t="str">
        <f>+IFERROR(INDEX(Hoja1!$A$2:$A$82,MATCH(J77,Hoja1!$H$2:$H$82,0)),"")</f>
        <v>15.1</v>
      </c>
      <c r="D77" s="153" t="str">
        <f>IFERROR(VLOOKUP(C77,Hoja1!$A$2:$H$82,4,0),"")</f>
        <v>Info y Comunicación</v>
      </c>
      <c r="E77" s="153" t="str">
        <f>+IFERROR(VLOOKUP(C77,Hoja1!$A$1:$J$82,10,0),"")</f>
        <v>Comunicación con el exterior (Se comunica con los grupos de valor y con terceros externos interesados; Facilita líneas de comunicación).</v>
      </c>
      <c r="F77" s="153" t="str">
        <f>+IFERROR(VLOOKUP(C77,Hoja1!$A$1:$I$82,3,0),"")</f>
        <v>La entidad desarrolla e implementa controles que facilitan la comunicación externa, la cual incluye  políticas y procedimientos. 
Incluye contratistas y proveedores de servicios tercerizados (cuando aplique).</v>
      </c>
      <c r="G77" s="152">
        <f>+IFERROR(VLOOKUP(C77,Hoja1!$A$1:$K$82,11,0),"")</f>
        <v>2</v>
      </c>
      <c r="H77" s="154">
        <f>+IFERROR(VLOOKUP(C77,Hoja1!$A$1:$L$82,12,0),"")</f>
        <v>1</v>
      </c>
      <c r="I77" s="145" t="str">
        <f t="shared" si="1"/>
        <v>Se encuentra presente y funcionando, pero requiere acciones dirigidas a fortalecer  o mejorar su diseño y/o ejecucion.</v>
      </c>
      <c r="J77" s="93">
        <v>63</v>
      </c>
      <c r="K77" s="143">
        <f>+VLOOKUP(C77,Hoja1!$A$1:$M$82,13,0)</f>
        <v>0.5</v>
      </c>
      <c r="L77" s="715"/>
      <c r="M77" s="89"/>
      <c r="N77" s="62"/>
      <c r="O77" s="62"/>
      <c r="P77" s="62"/>
      <c r="Q77" s="62"/>
      <c r="R77" s="62"/>
      <c r="S77" s="62"/>
    </row>
    <row r="78" spans="2:19" s="52" customFormat="1" ht="99.75" customHeight="1" x14ac:dyDescent="0.2">
      <c r="B78" s="155">
        <f t="shared" si="0"/>
        <v>64</v>
      </c>
      <c r="C78" s="152" t="str">
        <f>+IFERROR(INDEX(Hoja1!$A$2:$A$82,MATCH(J78,Hoja1!$H$2:$H$82,0)),"")</f>
        <v>15.3</v>
      </c>
      <c r="D78" s="153" t="str">
        <f>IFERROR(VLOOKUP(C78,Hoja1!$A$2:$H$82,4,0),"")</f>
        <v>Info y Comunicación</v>
      </c>
      <c r="E78" s="153" t="str">
        <f>+IFERROR(VLOOKUP(C78,Hoja1!$A$1:$J$82,10,0),"")</f>
        <v>Comunicación con el exterior (Se comunica con los grupos de valor y con terceros externos interesados; Facilita líneas de comunicación).</v>
      </c>
      <c r="F78" s="153" t="str">
        <f>+IFERROR(VLOOKUP(C78,Hoja1!$A$1:$I$82,3,0),"")</f>
        <v>La entidad cuenta con procesos o procedimiento para el manejo de la información entrante (quién la recibe, quién la clasifica, quién la analiza), y a la respuesta requierida (quién la canaliza y la responde)</v>
      </c>
      <c r="G78" s="152">
        <f>+IFERROR(VLOOKUP(C78,Hoja1!$A$1:$K$82,11,0),"")</f>
        <v>3</v>
      </c>
      <c r="H78" s="154">
        <f>+IFERROR(VLOOKUP(C78,Hoja1!$A$1:$L$82,12,0),"")</f>
        <v>2</v>
      </c>
      <c r="I78" s="145" t="str">
        <f t="shared" si="1"/>
        <v>Se encuentra presente y funcionando, pero requiere acciones dirigidas a fortalecer  o mejorar su diseño y/o ejecucion.</v>
      </c>
      <c r="J78" s="93">
        <v>64</v>
      </c>
      <c r="K78" s="143">
        <f>+VLOOKUP(C78,Hoja1!$A$1:$M$82,13,0)</f>
        <v>0.5</v>
      </c>
      <c r="L78" s="715"/>
      <c r="M78" s="89"/>
      <c r="N78" s="62"/>
      <c r="O78" s="62"/>
      <c r="P78" s="62"/>
      <c r="Q78" s="62"/>
      <c r="R78" s="62"/>
      <c r="S78" s="62"/>
    </row>
    <row r="79" spans="2:19" s="52" customFormat="1" ht="99.75" customHeight="1" x14ac:dyDescent="0.2">
      <c r="B79" s="151">
        <f t="shared" si="0"/>
        <v>65</v>
      </c>
      <c r="C79" s="152" t="str">
        <f>+IFERROR(INDEX(Hoja1!$A$2:$A$82,MATCH(J79,Hoja1!$H$2:$H$82,0)),"")</f>
        <v>15.4</v>
      </c>
      <c r="D79" s="153" t="str">
        <f>IFERROR(VLOOKUP(C79,Hoja1!$A$2:$H$82,4,0),"")</f>
        <v>Info y Comunicación</v>
      </c>
      <c r="E79" s="153" t="str">
        <f>+IFERROR(VLOOKUP(C79,Hoja1!$A$1:$J$82,10,0),"")</f>
        <v>Comunicación con el exterior (Se comunica con los grupos de valor y con terceros externos interesados; Facilita líneas de comunicación).</v>
      </c>
      <c r="F79" s="153" t="str">
        <f>+IFERROR(VLOOKUP(C79,Hoja1!$A$1:$I$82,3,0),"")</f>
        <v>La entidad cuenta con procesos o procedimientos encaminados a evaluar periodicamente la efectividad de los canales de comunicación con partes externas, así como sus contenidos, de tal forma que se puedan mejorar.</v>
      </c>
      <c r="G79" s="152">
        <f>+IFERROR(VLOOKUP(C79,Hoja1!$A$1:$K$82,11,0),"")</f>
        <v>2</v>
      </c>
      <c r="H79" s="154">
        <f>+IFERROR(VLOOKUP(C79,Hoja1!$A$1:$L$82,12,0),"")</f>
        <v>2</v>
      </c>
      <c r="I79" s="145" t="str">
        <f t="shared" si="1"/>
        <v>Se encuentra presente y funcionando, pero requiere acciones dirigidas a fortalecer  o mejorar su diseño y/o ejecucion.</v>
      </c>
      <c r="J79" s="93">
        <v>65</v>
      </c>
      <c r="K79" s="143">
        <f>+VLOOKUP(C79,Hoja1!$A$1:$M$82,13,0)</f>
        <v>0.5</v>
      </c>
      <c r="L79" s="715"/>
      <c r="M79" s="89"/>
      <c r="N79" s="62"/>
      <c r="O79" s="62"/>
      <c r="P79" s="62"/>
      <c r="Q79" s="62"/>
      <c r="R79" s="62"/>
      <c r="S79" s="62"/>
    </row>
    <row r="80" spans="2:19" s="52" customFormat="1" ht="99.75" customHeight="1" x14ac:dyDescent="0.2">
      <c r="B80" s="155">
        <f t="shared" ref="B80:B143" si="2">+IF(ISTEXT(D80),J80,"")</f>
        <v>66</v>
      </c>
      <c r="C80" s="152" t="str">
        <f>+IFERROR(INDEX(Hoja1!$A$2:$A$82,MATCH(J80,Hoja1!$H$2:$H$82,0)),"")</f>
        <v>14.3</v>
      </c>
      <c r="D80" s="153" t="str">
        <f>IFERROR(VLOOKUP(C80,Hoja1!$A$2:$H$82,4,0),"")</f>
        <v>Info y Comunicación</v>
      </c>
      <c r="E80" s="153" t="str">
        <f>+IFERROR(VLOOKUP(C80,Hoja1!$A$1:$J$82,10,0),"")</f>
        <v>Comunicación Interna (Se comunica con el Comité Institucional de Coordinación de Control Interno o su equivalente; Facilita líneas de comunicación en todos los niveles; Selecciona el método de comunicación pertinente).</v>
      </c>
      <c r="F80" s="153" t="str">
        <f>+IFERROR(VLOOKUP(C80,Hoja1!$A$1:$I$82,3,0),"")</f>
        <v>La entidad cuenta con canales de información internos para la denuncia anónima o confidencial de posibles situaciones irregulares y se cuenta con mecanismos específicos para su manejo, de manera tal que generen la confianza para utilizarlos</v>
      </c>
      <c r="G80" s="152">
        <f>+IFERROR(VLOOKUP(C80,Hoja1!$A$1:$K$82,11,0),"")</f>
        <v>3</v>
      </c>
      <c r="H80" s="154">
        <f>+IFERROR(VLOOKUP(C80,Hoja1!$A$1:$L$82,12,0),"")</f>
        <v>3</v>
      </c>
      <c r="I80" s="145" t="str">
        <f t="shared" ref="I80:I95" si="3">+IF(OR(AND(G80=1,H80=1),AND(G80=1,H80=2),AND(G80=1,H80=3),G80="",H80=""),"No se encuentra presente  por lo tanto no esta funcionando, lo que hace que se requieran acciones dirigidas a fortalecer su diseño y puesta en marcha",IF(OR(AND(G80=2,H80=2),AND(G80=3,H80=1),AND(G80=3,H80=2),AND(G80=2,H80=1)),"Se encuentra presente y funcionando, pero requiere acciones dirigidas a fortalecer  o mejorar su diseño y/o ejecucion.",IF(AND(G80=2,H80=3),"Se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0" s="93">
        <v>66</v>
      </c>
      <c r="K80" s="143">
        <f>+VLOOKUP(C80,Hoja1!$A$1:$M$82,13,0)</f>
        <v>1</v>
      </c>
      <c r="L80" s="715"/>
      <c r="M80" s="89"/>
      <c r="N80" s="62"/>
      <c r="O80" s="62"/>
      <c r="P80" s="62"/>
      <c r="Q80" s="62"/>
      <c r="R80" s="62"/>
      <c r="S80" s="62"/>
    </row>
    <row r="81" spans="2:19" s="52" customFormat="1" ht="99.75" customHeight="1" x14ac:dyDescent="0.2">
      <c r="B81" s="151">
        <f t="shared" si="2"/>
        <v>67</v>
      </c>
      <c r="C81" s="152" t="str">
        <f>+IFERROR(INDEX(Hoja1!$A$2:$A$82,MATCH(J81,Hoja1!$H$2:$H$82,0)),"")</f>
        <v>15.2</v>
      </c>
      <c r="D81" s="153" t="str">
        <f>IFERROR(VLOOKUP(C81,Hoja1!$A$2:$H$82,4,0),"")</f>
        <v>Info y Comunicación</v>
      </c>
      <c r="E81" s="153" t="str">
        <f>+IFERROR(VLOOKUP(C81,Hoja1!$A$1:$J$82,10,0),"")</f>
        <v>Comunicación con el exterior (Se comunica con los grupos de valor y con terceros externos interesados; Facilita líneas de comunicación).</v>
      </c>
      <c r="F81" s="153" t="str">
        <f>+IFERROR(VLOOKUP(C81,Hoja1!$A$1:$I$82,3,0),"")</f>
        <v>La entidad cuenta con canales externos definidos de comunicación, asociados con el tipo de información a divulgar, y éstos son reconocidos a todo nivel de la organización.</v>
      </c>
      <c r="G81" s="152">
        <f>+IFERROR(VLOOKUP(C81,Hoja1!$A$1:$K$82,11,0),"")</f>
        <v>3</v>
      </c>
      <c r="H81" s="154">
        <f>+IFERROR(VLOOKUP(C81,Hoja1!$A$1:$L$82,12,0),"")</f>
        <v>3</v>
      </c>
      <c r="I81" s="145" t="str">
        <f t="shared" si="3"/>
        <v>Se encuentra presente y funciona correctamente, por lo tanto se requiere acciones o actividades  dirigidas a su mantenimiento dentro del marco de las lineas de defensa.</v>
      </c>
      <c r="J81" s="93">
        <v>67</v>
      </c>
      <c r="K81" s="143">
        <f>+VLOOKUP(C81,Hoja1!$A$1:$M$82,13,0)</f>
        <v>1</v>
      </c>
      <c r="L81" s="715"/>
      <c r="M81" s="89"/>
      <c r="N81" s="62"/>
      <c r="O81" s="62"/>
      <c r="P81" s="62"/>
      <c r="Q81" s="62"/>
      <c r="R81" s="62"/>
      <c r="S81" s="62"/>
    </row>
    <row r="82" spans="2:19" s="52" customFormat="1" ht="99.75" customHeight="1" x14ac:dyDescent="0.2">
      <c r="B82" s="151">
        <f t="shared" si="2"/>
        <v>68</v>
      </c>
      <c r="C82" s="152" t="str">
        <f>+IFERROR(INDEX(Hoja1!$A$2:$A$82,MATCH(J82,Hoja1!$H$2:$H$82,0)),"")</f>
        <v>16.2</v>
      </c>
      <c r="D82" s="153" t="str">
        <f>IFERROR(VLOOKUP(C82,Hoja1!$A$2:$H$82,4,0),"")</f>
        <v>Monitoreo - Supervisión</v>
      </c>
      <c r="E82" s="153" t="str">
        <f>+IFERROR(VLOOKUP(C82,Hoja1!$A$1:$J$82,10,0),"")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2" s="153" t="str">
        <f>+IFERROR(VLOOKUP(C82,Hoja1!$A$1:$I$82,3,0),"")</f>
        <v xml:space="preserve"> La Alta Dirección periódicamente evalúa los resultados de las evaluaciones (contínuas e independientes)  para concluir acerca de la efectividad del Sistema de Control Intern</v>
      </c>
      <c r="G82" s="152">
        <f>+IFERROR(VLOOKUP(C82,Hoja1!$A$1:$K$82,11,0),"")</f>
        <v>2</v>
      </c>
      <c r="H82" s="154">
        <f>+IFERROR(VLOOKUP(C82,Hoja1!$A$1:$L$82,12,0),"")</f>
        <v>2</v>
      </c>
      <c r="I82" s="145" t="str">
        <f t="shared" si="3"/>
        <v>Se encuentra presente y funcionando, pero requiere acciones dirigidas a fortalecer  o mejorar su diseño y/o ejecucion.</v>
      </c>
      <c r="J82" s="93">
        <v>68</v>
      </c>
      <c r="K82" s="143">
        <f>+VLOOKUP(C82,Hoja1!$A$1:$M$82,13,0)</f>
        <v>0.5</v>
      </c>
      <c r="L82" s="715">
        <f>+AVERAGE(K82:K95)</f>
        <v>0.6428571428571429</v>
      </c>
      <c r="M82" s="89"/>
      <c r="N82" s="62"/>
      <c r="O82" s="62"/>
      <c r="P82" s="62"/>
      <c r="Q82" s="62"/>
      <c r="R82" s="62"/>
      <c r="S82" s="62"/>
    </row>
    <row r="83" spans="2:19" s="52" customFormat="1" ht="99.75" customHeight="1" x14ac:dyDescent="0.2">
      <c r="B83" s="151">
        <f t="shared" si="2"/>
        <v>69</v>
      </c>
      <c r="C83" s="152" t="str">
        <f>+IFERROR(INDEX(Hoja1!$A$2:$A$82,MATCH(J83,Hoja1!$H$2:$H$82,0)),"")</f>
        <v>16.4</v>
      </c>
      <c r="D83" s="153" t="str">
        <f>IFERROR(VLOOKUP(C83,Hoja1!$A$2:$H$82,4,0),"")</f>
        <v>Monitoreo - Supervisión</v>
      </c>
      <c r="E83" s="153" t="str">
        <f>+IFERROR(VLOOKUP(C83,Hoja1!$A$1:$J$82,10,0),"")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3" s="153" t="str">
        <f>+IFERROR(VLOOKUP(C83,Hoja1!$A$1:$I$82,3,0),"")</f>
        <v>Acorde con el Esquema de Líneas de Defensa se han implementado procedimientos de monitoreo continuo como parte de las actividades de la 2a línea de defensa, a fin de contar con información clave para la toma de decisiones</v>
      </c>
      <c r="G83" s="152">
        <f>+IFERROR(VLOOKUP(C83,Hoja1!$A$1:$K$82,11,0),"")</f>
        <v>2</v>
      </c>
      <c r="H83" s="154">
        <f>+IFERROR(VLOOKUP(C83,Hoja1!$A$1:$L$82,12,0),"")</f>
        <v>2</v>
      </c>
      <c r="I83" s="145" t="str">
        <f t="shared" si="3"/>
        <v>Se encuentra presente y funcionando, pero requiere acciones dirigidas a fortalecer  o mejorar su diseño y/o ejecucion.</v>
      </c>
      <c r="J83" s="93">
        <v>69</v>
      </c>
      <c r="K83" s="143">
        <f>+VLOOKUP(C83,Hoja1!$A$1:$M$82,13,0)</f>
        <v>0.5</v>
      </c>
      <c r="L83" s="715"/>
      <c r="M83" s="89"/>
      <c r="N83" s="62"/>
      <c r="O83" s="62"/>
      <c r="P83" s="62"/>
      <c r="Q83" s="62"/>
      <c r="R83" s="62"/>
      <c r="S83" s="62"/>
    </row>
    <row r="84" spans="2:19" s="52" customFormat="1" ht="99.75" customHeight="1" x14ac:dyDescent="0.2">
      <c r="B84" s="155">
        <f t="shared" si="2"/>
        <v>70</v>
      </c>
      <c r="C84" s="152" t="str">
        <f>+IFERROR(INDEX(Hoja1!$A$2:$A$82,MATCH(J84,Hoja1!$H$2:$H$82,0)),"")</f>
        <v xml:space="preserve">17.1 </v>
      </c>
      <c r="D84" s="153" t="str">
        <f>IFERROR(VLOOKUP(C84,Hoja1!$A$2:$H$82,4,0),"")</f>
        <v>Monitoreo - Supervisión</v>
      </c>
      <c r="E84" s="153" t="str">
        <f>+IFERROR(VLOOKUP(C84,Hoja1!$A$1:$J$82,10,0),"")</f>
        <v>Evaluación y comunicación de deficiencias oportunamente (Evalúa los resultados, Comunica las deficiencias y Monitorea las medidas correctivas).</v>
      </c>
      <c r="F84" s="153" t="str">
        <f>+IFERROR(VLOOKUP(C84,Hoja1!$A$1:$I$82,3,0),"")</f>
        <v>A partir de la información de las evaluaciones independientes, se evalúan para determinar su efecto en el Sistema de Control Interno de la entidad y su impacto en el logro de los objetivos, a fin de determinar cursos de acción para su mejora</v>
      </c>
      <c r="G84" s="152">
        <f>+IFERROR(VLOOKUP(C84,Hoja1!$A$1:$K$82,11,0),"")</f>
        <v>3</v>
      </c>
      <c r="H84" s="154">
        <f>+IFERROR(VLOOKUP(C84,Hoja1!$A$1:$L$82,12,0),"")</f>
        <v>2</v>
      </c>
      <c r="I84" s="145" t="str">
        <f t="shared" si="3"/>
        <v>Se encuentra presente y funcionando, pero requiere acciones dirigidas a fortalecer  o mejorar su diseño y/o ejecucion.</v>
      </c>
      <c r="J84" s="93">
        <v>70</v>
      </c>
      <c r="K84" s="143">
        <f>+VLOOKUP(C84,Hoja1!$A$1:$M$82,13,0)</f>
        <v>0.5</v>
      </c>
      <c r="L84" s="715"/>
      <c r="M84" s="89"/>
      <c r="N84" s="62"/>
      <c r="O84" s="62"/>
      <c r="P84" s="62"/>
      <c r="Q84" s="62"/>
      <c r="R84" s="62"/>
      <c r="S84" s="62"/>
    </row>
    <row r="85" spans="2:19" s="52" customFormat="1" ht="99.75" customHeight="1" x14ac:dyDescent="0.2">
      <c r="B85" s="151">
        <f t="shared" si="2"/>
        <v>71</v>
      </c>
      <c r="C85" s="152" t="str">
        <f>+IFERROR(INDEX(Hoja1!$A$2:$A$82,MATCH(J85,Hoja1!$H$2:$H$82,0)),"")</f>
        <v xml:space="preserve">17.2 </v>
      </c>
      <c r="D85" s="153" t="str">
        <f>IFERROR(VLOOKUP(C85,Hoja1!$A$2:$H$82,4,0),"")</f>
        <v>Monitoreo - Supervisión</v>
      </c>
      <c r="E85" s="153" t="str">
        <f>+IFERROR(VLOOKUP(C85,Hoja1!$A$1:$J$82,10,0),"")</f>
        <v>Evaluación y comunicación de deficiencias oportunamente (Evalúa los resultados, Comunica las deficiencias y Monitorea las medidas correctivas).</v>
      </c>
      <c r="F85" s="153" t="str">
        <f>+IFERROR(VLOOKUP(C85,Hoja1!$A$1:$I$82,3,0),"")</f>
        <v>Los informes recibidos de entes externos (organismos de control, auditores externos, entidades de vigilancia entre otros) se consolidan y se concluye sobre el impacto en el Sistema de Control Interno, a fin de determinar los cursos de acción</v>
      </c>
      <c r="G85" s="152">
        <f>+IFERROR(VLOOKUP(C85,Hoja1!$A$1:$K$82,11,0),"")</f>
        <v>2</v>
      </c>
      <c r="H85" s="154">
        <f>+IFERROR(VLOOKUP(C85,Hoja1!$A$1:$L$82,12,0),"")</f>
        <v>2</v>
      </c>
      <c r="I85" s="145" t="str">
        <f t="shared" si="3"/>
        <v>Se encuentra presente y funcionando, pero requiere acciones dirigidas a fortalecer  o mejorar su diseño y/o ejecucion.</v>
      </c>
      <c r="J85" s="93">
        <v>71</v>
      </c>
      <c r="K85" s="143">
        <f>+VLOOKUP(C85,Hoja1!$A$1:$M$82,13,0)</f>
        <v>0.5</v>
      </c>
      <c r="L85" s="715"/>
      <c r="M85" s="89"/>
      <c r="N85" s="62"/>
      <c r="O85" s="62"/>
      <c r="P85" s="62"/>
      <c r="Q85" s="62"/>
      <c r="R85" s="62"/>
      <c r="S85" s="62"/>
    </row>
    <row r="86" spans="2:19" s="52" customFormat="1" ht="99.75" customHeight="1" x14ac:dyDescent="0.2">
      <c r="B86" s="155">
        <f t="shared" si="2"/>
        <v>72</v>
      </c>
      <c r="C86" s="152" t="str">
        <f>+IFERROR(INDEX(Hoja1!$A$2:$A$82,MATCH(J86,Hoja1!$H$2:$H$82,0)),"")</f>
        <v xml:space="preserve">17.3 </v>
      </c>
      <c r="D86" s="153" t="str">
        <f>IFERROR(VLOOKUP(C86,Hoja1!$A$2:$H$82,4,0),"")</f>
        <v>Monitoreo - Supervisión</v>
      </c>
      <c r="E86" s="153" t="str">
        <f>+IFERROR(VLOOKUP(C86,Hoja1!$A$1:$J$82,10,0),"")</f>
        <v>Evaluación y comunicación de deficiencias oportunamente (Evalúa los resultados, Comunica las deficiencias y Monitorea las medidas correctivas).</v>
      </c>
      <c r="F86" s="153" t="str">
        <f>+IFERROR(VLOOKUP(C86,Hoja1!$A$1:$I$82,3,0),"")</f>
        <v>La entidad cuenta con políticas donde se establezca a quién reportar las deficiencias de control interno como resultado del monitoreo continuo</v>
      </c>
      <c r="G86" s="152">
        <f>+IFERROR(VLOOKUP(C86,Hoja1!$A$1:$K$82,11,0),"")</f>
        <v>3</v>
      </c>
      <c r="H86" s="154">
        <f>+IFERROR(VLOOKUP(C86,Hoja1!$A$1:$L$82,12,0),"")</f>
        <v>2</v>
      </c>
      <c r="I86" s="145" t="str">
        <f t="shared" si="3"/>
        <v>Se encuentra presente y funcionando, pero requiere acciones dirigidas a fortalecer  o mejorar su diseño y/o ejecucion.</v>
      </c>
      <c r="J86" s="93">
        <v>72</v>
      </c>
      <c r="K86" s="143">
        <f>+VLOOKUP(C86,Hoja1!$A$1:$M$82,13,0)</f>
        <v>0.5</v>
      </c>
      <c r="L86" s="715"/>
      <c r="M86" s="89"/>
      <c r="N86" s="62"/>
      <c r="O86" s="62"/>
      <c r="P86" s="62"/>
      <c r="Q86" s="62"/>
      <c r="R86" s="62"/>
      <c r="S86" s="62"/>
    </row>
    <row r="87" spans="2:19" s="52" customFormat="1" ht="99.75" customHeight="1" x14ac:dyDescent="0.2">
      <c r="B87" s="151">
        <f t="shared" si="2"/>
        <v>73</v>
      </c>
      <c r="C87" s="152" t="str">
        <f>+IFERROR(INDEX(Hoja1!$A$2:$A$82,MATCH(J87,Hoja1!$H$2:$H$82,0)),"")</f>
        <v xml:space="preserve">17.4 </v>
      </c>
      <c r="D87" s="153" t="str">
        <f>IFERROR(VLOOKUP(C87,Hoja1!$A$2:$H$82,4,0),"")</f>
        <v>Monitoreo - Supervisión</v>
      </c>
      <c r="E87" s="153" t="str">
        <f>+IFERROR(VLOOKUP(C87,Hoja1!$A$1:$J$82,10,0),"")</f>
        <v>Evaluación y comunicación de deficiencias oportunamente (Evalúa los resultados, Comunica las deficiencias y Monitorea las medidas correctivas).</v>
      </c>
      <c r="F87" s="153" t="str">
        <f>+IFERROR(VLOOKUP(C87,Hoja1!$A$1:$I$82,3,0),"")</f>
        <v>La Alta Dirección hace seguimiento a las acciones correctivas relacionadas con las deficiencias comunicadas sobre el Sistema de Control Interno y si se han cumplido en el tiempo establecido</v>
      </c>
      <c r="G87" s="152">
        <f>+IFERROR(VLOOKUP(C87,Hoja1!$A$1:$K$82,11,0),"")</f>
        <v>3</v>
      </c>
      <c r="H87" s="154">
        <f>+IFERROR(VLOOKUP(C87,Hoja1!$A$1:$L$82,12,0),"")</f>
        <v>2</v>
      </c>
      <c r="I87" s="145" t="str">
        <f t="shared" si="3"/>
        <v>Se encuentra presente y funcionando, pero requiere acciones dirigidas a fortalecer  o mejorar su diseño y/o ejecucion.</v>
      </c>
      <c r="J87" s="93">
        <v>73</v>
      </c>
      <c r="K87" s="143">
        <f>+VLOOKUP(C87,Hoja1!$A$1:$M$82,13,0)</f>
        <v>0.5</v>
      </c>
      <c r="L87" s="715"/>
      <c r="M87" s="89"/>
      <c r="N87" s="62"/>
      <c r="O87" s="62"/>
      <c r="P87" s="62"/>
      <c r="Q87" s="62"/>
      <c r="R87" s="62"/>
      <c r="S87" s="62"/>
    </row>
    <row r="88" spans="2:19" s="52" customFormat="1" ht="99.75" customHeight="1" x14ac:dyDescent="0.2">
      <c r="B88" s="151">
        <f t="shared" si="2"/>
        <v>74</v>
      </c>
      <c r="C88" s="152" t="str">
        <f>+IFERROR(INDEX(Hoja1!$A$2:$A$82,MATCH(J88,Hoja1!$H$2:$H$82,0)),"")</f>
        <v xml:space="preserve">17.6 </v>
      </c>
      <c r="D88" s="153" t="str">
        <f>IFERROR(VLOOKUP(C88,Hoja1!$A$2:$H$82,4,0),"")</f>
        <v>Monitoreo - Supervisión</v>
      </c>
      <c r="E88" s="153" t="str">
        <f>+IFERROR(VLOOKUP(C88,Hoja1!$A$1:$J$82,10,0),"")</f>
        <v>Evaluación y comunicación de deficiencias oportunamente (Evalúa los resultados, Comunica las deficiencias y Monitorea las medidas correctivas).</v>
      </c>
      <c r="F88" s="153" t="str">
        <f>+IFERROR(VLOOKUP(C88,Hoja1!$A$1:$I$82,3,0),"")</f>
        <v>Se evalúa la información suministrada por los usuarios (Sistema PQRD), así como de otras partes interesadas para la mejora del  Sistema de Control Interno de la Entidad</v>
      </c>
      <c r="G88" s="152">
        <f>+IFERROR(VLOOKUP(C88,Hoja1!$A$1:$K$82,11,0),"")</f>
        <v>3</v>
      </c>
      <c r="H88" s="154">
        <f>+IFERROR(VLOOKUP(C88,Hoja1!$A$1:$L$82,12,0),"")</f>
        <v>1</v>
      </c>
      <c r="I88" s="145" t="str">
        <f t="shared" si="3"/>
        <v>Se encuentra presente y funcionando, pero requiere acciones dirigidas a fortalecer  o mejorar su diseño y/o ejecucion.</v>
      </c>
      <c r="J88" s="93">
        <v>74</v>
      </c>
      <c r="K88" s="143">
        <f>+VLOOKUP(C88,Hoja1!$A$1:$M$82,13,0)</f>
        <v>0.5</v>
      </c>
      <c r="L88" s="715"/>
      <c r="M88" s="89"/>
      <c r="N88" s="62"/>
      <c r="O88" s="62"/>
      <c r="P88" s="62"/>
      <c r="Q88" s="62"/>
      <c r="R88" s="62"/>
      <c r="S88" s="62"/>
    </row>
    <row r="89" spans="2:19" s="52" customFormat="1" ht="99.75" customHeight="1" x14ac:dyDescent="0.2">
      <c r="B89" s="151">
        <f t="shared" si="2"/>
        <v>75</v>
      </c>
      <c r="C89" s="152" t="str">
        <f>+IFERROR(INDEX(Hoja1!$A$2:$A$82,MATCH(J89,Hoja1!$H$2:$H$82,0)),"")</f>
        <v xml:space="preserve">17.7 </v>
      </c>
      <c r="D89" s="153" t="str">
        <f>IFERROR(VLOOKUP(C89,Hoja1!$A$2:$H$82,4,0),"")</f>
        <v>Monitoreo - Supervisión</v>
      </c>
      <c r="E89" s="153" t="str">
        <f>+IFERROR(VLOOKUP(C89,Hoja1!$A$1:$J$82,10,0),"")</f>
        <v>Evaluación y comunicación de deficiencias oportunamente (Evalúa los resultados, Comunica las deficiencias y Monitorea las medidas correctivas).</v>
      </c>
      <c r="F89" s="153" t="str">
        <f>+IFERROR(VLOOKUP(C89,Hoja1!$A$1:$I$82,3,0),"")</f>
        <v>Verificación del avance y cumplimiento de las acciones incluidas en los planes de mejoramiento producto de las autoevaluaciones. (2ª Línea).</v>
      </c>
      <c r="G89" s="152">
        <f>+IFERROR(VLOOKUP(C89,Hoja1!$A$1:$K$82,11,0),"")</f>
        <v>2</v>
      </c>
      <c r="H89" s="154">
        <f>+IFERROR(VLOOKUP(C89,Hoja1!$A$1:$L$82,12,0),"")</f>
        <v>1</v>
      </c>
      <c r="I89" s="145" t="str">
        <f t="shared" si="3"/>
        <v>Se encuentra presente y funcionando, pero requiere acciones dirigidas a fortalecer  o mejorar su diseño y/o ejecucion.</v>
      </c>
      <c r="J89" s="93">
        <v>75</v>
      </c>
      <c r="K89" s="143">
        <f>+VLOOKUP(C89,Hoja1!$A$1:$M$82,13,0)</f>
        <v>0.5</v>
      </c>
      <c r="L89" s="715"/>
      <c r="M89" s="89"/>
      <c r="N89" s="62"/>
      <c r="O89" s="62"/>
      <c r="P89" s="62"/>
      <c r="Q89" s="62"/>
      <c r="R89" s="62"/>
      <c r="S89" s="62"/>
    </row>
    <row r="90" spans="2:19" s="52" customFormat="1" ht="99.75" customHeight="1" x14ac:dyDescent="0.2">
      <c r="B90" s="155">
        <f t="shared" si="2"/>
        <v>76</v>
      </c>
      <c r="C90" s="152" t="str">
        <f>+IFERROR(INDEX(Hoja1!$A$2:$A$82,MATCH(J90,Hoja1!$H$2:$H$82,0)),"")</f>
        <v xml:space="preserve">17.8 </v>
      </c>
      <c r="D90" s="153" t="str">
        <f>IFERROR(VLOOKUP(C90,Hoja1!$A$2:$H$82,4,0),"")</f>
        <v>Monitoreo - Supervisión</v>
      </c>
      <c r="E90" s="153" t="str">
        <f>+IFERROR(VLOOKUP(C90,Hoja1!$A$1:$J$82,10,0),"")</f>
        <v>Evaluación y comunicación de deficiencias oportunamente (Evalúa los resultados, Comunica las deficiencias y Monitorea las medidas correctivas).</v>
      </c>
      <c r="F90" s="153" t="str">
        <f>+IFERROR(VLOOKUP(C90,Hoja1!$A$1:$I$82,3,0),"")</f>
        <v>Evaluación de la efectividad de las acciones incluidas en los Planes de mejoramiento producto de las auditorías internas y de entes externos. (3ª Línea</v>
      </c>
      <c r="G90" s="152">
        <f>+IFERROR(VLOOKUP(C90,Hoja1!$A$1:$K$82,11,0),"")</f>
        <v>3</v>
      </c>
      <c r="H90" s="154">
        <f>+IFERROR(VLOOKUP(C90,Hoja1!$A$1:$L$82,12,0),"")</f>
        <v>1</v>
      </c>
      <c r="I90" s="145" t="str">
        <f t="shared" si="3"/>
        <v>Se encuentra presente y funcionando, pero requiere acciones dirigidas a fortalecer  o mejorar su diseño y/o ejecucion.</v>
      </c>
      <c r="J90" s="93">
        <v>76</v>
      </c>
      <c r="K90" s="143">
        <f>+VLOOKUP(C90,Hoja1!$A$1:$M$82,13,0)</f>
        <v>0.5</v>
      </c>
      <c r="L90" s="715"/>
      <c r="M90" s="89"/>
      <c r="N90" s="62"/>
      <c r="O90" s="62"/>
      <c r="P90" s="62"/>
      <c r="Q90" s="62"/>
      <c r="R90" s="62"/>
      <c r="S90" s="62"/>
    </row>
    <row r="91" spans="2:19" s="52" customFormat="1" ht="99.75" customHeight="1" x14ac:dyDescent="0.2">
      <c r="B91" s="151">
        <f t="shared" si="2"/>
        <v>77</v>
      </c>
      <c r="C91" s="152" t="str">
        <f>+IFERROR(INDEX(Hoja1!$A$2:$A$82,MATCH(J91,Hoja1!$H$2:$H$82,0)),"")</f>
        <v xml:space="preserve">17.9 </v>
      </c>
      <c r="D91" s="153" t="str">
        <f>IFERROR(VLOOKUP(C91,Hoja1!$A$2:$H$82,4,0),"")</f>
        <v>Monitoreo - Supervisión</v>
      </c>
      <c r="E91" s="153" t="str">
        <f>+IFERROR(VLOOKUP(C91,Hoja1!$A$1:$J$82,10,0),"")</f>
        <v>Evaluación y comunicación de deficiencias oportunamente (Evalúa los resultados, Comunica las deficiencias y Monitorea las medidas correctivas).</v>
      </c>
      <c r="F91" s="153" t="str">
        <f>+IFERROR(VLOOKUP(C91,Hoja1!$A$1:$I$82,3,0),"")</f>
        <v>Las deficiencias de control interno son reportadas a los responsables de nivel jerárquico superior, para tomar la acciones correspondientes</v>
      </c>
      <c r="G91" s="152">
        <f>+IFERROR(VLOOKUP(C91,Hoja1!$A$1:$K$82,11,0),"")</f>
        <v>3</v>
      </c>
      <c r="H91" s="154">
        <f>+IFERROR(VLOOKUP(C91,Hoja1!$A$1:$L$82,12,0),"")</f>
        <v>2</v>
      </c>
      <c r="I91" s="145" t="str">
        <f t="shared" si="3"/>
        <v>Se encuentra presente y funcionando, pero requiere acciones dirigidas a fortalecer  o mejorar su diseño y/o ejecucion.</v>
      </c>
      <c r="J91" s="93">
        <v>77</v>
      </c>
      <c r="K91" s="144">
        <f>+VLOOKUP(C91,Hoja1!$A$1:$M$82,13,0)</f>
        <v>0.5</v>
      </c>
      <c r="L91" s="715"/>
      <c r="M91" s="89"/>
      <c r="N91" s="62"/>
      <c r="O91" s="62"/>
      <c r="P91" s="62"/>
      <c r="Q91" s="62"/>
      <c r="R91" s="62"/>
      <c r="S91" s="62"/>
    </row>
    <row r="92" spans="2:19" s="52" customFormat="1" ht="99.75" customHeight="1" x14ac:dyDescent="0.2">
      <c r="B92" s="155">
        <f t="shared" si="2"/>
        <v>78</v>
      </c>
      <c r="C92" s="152" t="str">
        <f>+IFERROR(INDEX(Hoja1!$A$2:$A$82,MATCH(J92,Hoja1!$H$2:$H$82,0)),"")</f>
        <v>16.1</v>
      </c>
      <c r="D92" s="153" t="str">
        <f>IFERROR(VLOOKUP(C92,Hoja1!$A$2:$H$82,4,0),"")</f>
        <v>Monitoreo - Supervisión</v>
      </c>
      <c r="E92" s="153" t="str">
        <f>+IFERROR(VLOOKUP(C92,Hoja1!$A$1:$J$82,10,0),"")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92" s="153" t="str">
        <f>+IFERROR(VLOOKUP(C92,Hoja1!$A$1:$I$82,3,0),"")</f>
        <v>El comité Institucional de Coordinación de Control Interno aprueba anualmente el Plan Anual de Auditoría presentado por parte del Jefe de Control Interno o quien haga sus veces y hace el correspondiente seguimiento a sus ejecución</v>
      </c>
      <c r="G92" s="152">
        <f>+IFERROR(VLOOKUP(C92,Hoja1!$A$1:$K$82,11,0),"")</f>
        <v>3</v>
      </c>
      <c r="H92" s="154">
        <f>+IFERROR(VLOOKUP(C92,Hoja1!$A$1:$L$82,12,0),"")</f>
        <v>3</v>
      </c>
      <c r="I92" s="145" t="str">
        <f t="shared" si="3"/>
        <v>Se encuentra presente y funciona correctamente, por lo tanto se requiere acciones o actividades  dirigidas a su mantenimiento dentro del marco de las lineas de defensa.</v>
      </c>
      <c r="J92" s="93">
        <v>78</v>
      </c>
      <c r="K92" s="144">
        <f>+VLOOKUP(C92,Hoja1!$A$1:$M$82,13,0)</f>
        <v>1</v>
      </c>
      <c r="L92" s="715"/>
      <c r="M92" s="89"/>
      <c r="N92" s="62"/>
      <c r="O92" s="62"/>
      <c r="P92" s="62"/>
      <c r="Q92" s="62"/>
      <c r="R92" s="62"/>
      <c r="S92" s="62"/>
    </row>
    <row r="93" spans="2:19" s="52" customFormat="1" ht="144.75" customHeight="1" x14ac:dyDescent="0.2">
      <c r="B93" s="151">
        <f t="shared" si="2"/>
        <v>79</v>
      </c>
      <c r="C93" s="152" t="str">
        <f>+IFERROR(INDEX(Hoja1!$A$2:$A$82,MATCH(J93,Hoja1!$H$2:$H$82,0)),"")</f>
        <v>16.3</v>
      </c>
      <c r="D93" s="153" t="str">
        <f>IFERROR(VLOOKUP(C93,Hoja1!$A$2:$H$82,4,0),"")</f>
        <v>Monitoreo - Supervisión</v>
      </c>
      <c r="E93" s="153" t="str">
        <f>+IFERROR(VLOOKUP(C93,Hoja1!$A$1:$J$82,10,0),"")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93" s="153" t="str">
        <f>+IFERROR(VLOOKUP(C93,Hoja1!$A$1:$I$82,3,0),"")</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93" s="152">
        <f>+IFERROR(VLOOKUP(C93,Hoja1!$A$1:$K$82,11,0),"")</f>
        <v>3</v>
      </c>
      <c r="H93" s="154">
        <f>+IFERROR(VLOOKUP(C93,Hoja1!$A$1:$L$82,12,0),"")</f>
        <v>3</v>
      </c>
      <c r="I93" s="145" t="str">
        <f t="shared" si="3"/>
        <v>Se encuentra presente y funciona correctamente, por lo tanto se requiere acciones o actividades  dirigidas a su mantenimiento dentro del marco de las lineas de defensa.</v>
      </c>
      <c r="J93" s="93">
        <v>79</v>
      </c>
      <c r="K93" s="144">
        <f>+VLOOKUP(C93,Hoja1!$A$1:$M$82,13,0)</f>
        <v>1</v>
      </c>
      <c r="L93" s="715"/>
      <c r="M93" s="89"/>
      <c r="N93" s="62"/>
      <c r="O93" s="62"/>
      <c r="P93" s="62"/>
      <c r="Q93" s="62"/>
      <c r="R93" s="62"/>
      <c r="S93" s="62"/>
    </row>
    <row r="94" spans="2:19" s="52" customFormat="1" ht="141" customHeight="1" x14ac:dyDescent="0.2">
      <c r="B94" s="151">
        <f t="shared" si="2"/>
        <v>80</v>
      </c>
      <c r="C94" s="152" t="str">
        <f>+IFERROR(INDEX(Hoja1!$A$2:$A$82,MATCH(J94,Hoja1!$H$2:$H$82,0)),"")</f>
        <v>16.5</v>
      </c>
      <c r="D94" s="153" t="str">
        <f>IFERROR(VLOOKUP(C94,Hoja1!$A$2:$H$82,4,0),"")</f>
        <v>Monitoreo - Supervisión</v>
      </c>
      <c r="E94" s="153" t="str">
        <f>+IFERROR(VLOOKUP(C94,Hoja1!$A$1:$J$82,10,0),"")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94" s="153" t="str">
        <f>+IFERROR(VLOOKUP(C94,Hoja1!$A$1:$I$82,3,0),"")</f>
        <v>Frente a las evaluaciones independientes la entidad considera evaluaciones externas de organismos de control, de vigilancia, certificadores, ONG´s u otros que permitan tener una mirada independiente de las operaciones</v>
      </c>
      <c r="G94" s="152">
        <f>+IFERROR(VLOOKUP(C94,Hoja1!$A$1:$K$82,11,0),"")</f>
        <v>3</v>
      </c>
      <c r="H94" s="154">
        <f>+IFERROR(VLOOKUP(C94,Hoja1!$A$1:$L$82,12,0),"")</f>
        <v>3</v>
      </c>
      <c r="I94" s="145" t="str">
        <f t="shared" si="3"/>
        <v>Se encuentra presente y funciona correctamente, por lo tanto se requiere acciones o actividades  dirigidas a su mantenimiento dentro del marco de las lineas de defensa.</v>
      </c>
      <c r="J94" s="93">
        <v>80</v>
      </c>
      <c r="K94" s="144">
        <f>+VLOOKUP(C94,Hoja1!$A$1:$M$82,13,0)</f>
        <v>1</v>
      </c>
      <c r="L94" s="715"/>
      <c r="M94" s="89"/>
      <c r="N94" s="62"/>
      <c r="O94" s="62"/>
      <c r="P94" s="62"/>
      <c r="Q94" s="62"/>
      <c r="R94" s="62"/>
      <c r="S94" s="62"/>
    </row>
    <row r="95" spans="2:19" s="52" customFormat="1" ht="99.75" customHeight="1" x14ac:dyDescent="0.2">
      <c r="B95" s="151">
        <f t="shared" si="2"/>
        <v>81</v>
      </c>
      <c r="C95" s="152" t="str">
        <f>+IFERROR(INDEX(Hoja1!$A$2:$A$82,MATCH(J95,Hoja1!$H$2:$H$82,0)),"")</f>
        <v xml:space="preserve">17.5 </v>
      </c>
      <c r="D95" s="153" t="str">
        <f>IFERROR(VLOOKUP(C95,Hoja1!$A$2:$H$82,4,0),"")</f>
        <v>Monitoreo - Supervisión</v>
      </c>
      <c r="E95" s="153" t="str">
        <f>+IFERROR(VLOOKUP(C95,Hoja1!$A$1:$J$82,10,0),"")</f>
        <v>Evaluación y comunicación de deficiencias oportunamente (Evalúa los resultados, Comunica las deficiencias y Monitorea las medidas correctivas).</v>
      </c>
      <c r="F95" s="153" t="str">
        <f>+IFERROR(VLOOKUP(C95,Hoja1!$A$1:$I$82,3,0),"")</f>
        <v>Los procesos y/o servicios tercerizados, son evaluados acorde con su nivel de riesgos</v>
      </c>
      <c r="G95" s="152">
        <f>+IFERROR(VLOOKUP(C95,Hoja1!$A$1:$K$82,11,0),"")</f>
        <v>3</v>
      </c>
      <c r="H95" s="154">
        <f>+IFERROR(VLOOKUP(C95,Hoja1!$A$1:$L$82,12,0),"")</f>
        <v>3</v>
      </c>
      <c r="I95" s="145" t="str">
        <f t="shared" si="3"/>
        <v>Se encuentra presente y funciona correctamente, por lo tanto se requiere acciones o actividades  dirigidas a su mantenimiento dentro del marco de las lineas de defensa.</v>
      </c>
      <c r="J95" s="93">
        <v>81</v>
      </c>
      <c r="K95" s="144">
        <f>+VLOOKUP(C95,Hoja1!$A$1:$M$82,13,0)</f>
        <v>1</v>
      </c>
      <c r="L95" s="716"/>
      <c r="M95" s="89"/>
      <c r="N95" s="62"/>
      <c r="O95" s="62"/>
      <c r="P95" s="62"/>
      <c r="Q95" s="62"/>
      <c r="R95" s="62"/>
      <c r="S95" s="62"/>
    </row>
    <row r="96" spans="2:19" s="52" customFormat="1" ht="99.75" customHeight="1" x14ac:dyDescent="0.2">
      <c r="B96" s="155">
        <f t="shared" si="2"/>
        <v>82</v>
      </c>
      <c r="C96" s="152" t="str">
        <f>+IFERROR(INDEX(Hoja1!$A$2:$A$82,MATCH(J96,Hoja1!$H$2:$H$82,0)),"")</f>
        <v/>
      </c>
      <c r="D96" s="153" t="str">
        <f>IFERROR(VLOOKUP(C96,Hoja1!$A$2:$H$82,4,0),"")</f>
        <v/>
      </c>
      <c r="E96" s="153" t="str">
        <f>+IFERROR(VLOOKUP(C96,Hoja1!$A$1:$J$82,10,0),"")</f>
        <v/>
      </c>
      <c r="F96" s="153" t="str">
        <f>+IFERROR(VLOOKUP(C96,Hoja1!$A$1:$I$82,3,0),"")</f>
        <v/>
      </c>
      <c r="G96" s="152" t="str">
        <f>+IFERROR(VLOOKUP(C96,Hoja1!$A$1:$K$82,11,0),"")</f>
        <v/>
      </c>
      <c r="H96" s="154" t="str">
        <f>+IFERROR(VLOOKUP(C96,Hoja1!$A$1:$L$82,12,0),"")</f>
        <v/>
      </c>
      <c r="I96" s="56"/>
      <c r="J96" s="93">
        <v>82</v>
      </c>
      <c r="K96" s="92"/>
      <c r="L96" s="62"/>
      <c r="M96" s="89"/>
      <c r="N96" s="62"/>
      <c r="O96" s="62"/>
      <c r="P96" s="62"/>
      <c r="Q96" s="62"/>
      <c r="R96" s="62"/>
      <c r="S96" s="62"/>
    </row>
    <row r="97" spans="2:19" s="52" customFormat="1" ht="99.75" customHeight="1" x14ac:dyDescent="0.2">
      <c r="B97" s="151">
        <f t="shared" si="2"/>
        <v>83</v>
      </c>
      <c r="C97" s="152" t="str">
        <f>+IFERROR(INDEX(Hoja1!$A$2:$A$82,MATCH(J97,Hoja1!$H$2:$H$82,0)),"")</f>
        <v/>
      </c>
      <c r="D97" s="153" t="str">
        <f>IFERROR(VLOOKUP(C97,Hoja1!$A$2:$H$82,4,0),"")</f>
        <v/>
      </c>
      <c r="E97" s="153" t="str">
        <f>+IFERROR(VLOOKUP(C97,Hoja1!$A$1:$J$82,10,0),"")</f>
        <v/>
      </c>
      <c r="F97" s="153" t="str">
        <f>+IFERROR(VLOOKUP(C97,Hoja1!$A$1:$I$82,3,0),"")</f>
        <v/>
      </c>
      <c r="G97" s="152" t="str">
        <f>+IFERROR(VLOOKUP(C97,Hoja1!$A$1:$K$82,11,0),"")</f>
        <v/>
      </c>
      <c r="H97" s="154" t="str">
        <f>+IFERROR(VLOOKUP(C97,Hoja1!$A$1:$L$82,12,0),"")</f>
        <v/>
      </c>
      <c r="I97" s="56"/>
      <c r="J97" s="93">
        <v>83</v>
      </c>
      <c r="K97" s="96"/>
      <c r="M97" s="89"/>
      <c r="N97" s="62"/>
      <c r="O97" s="62"/>
      <c r="P97" s="62"/>
      <c r="Q97" s="62"/>
      <c r="R97" s="62"/>
      <c r="S97" s="62"/>
    </row>
    <row r="98" spans="2:19" s="52" customFormat="1" ht="99.75" customHeight="1" x14ac:dyDescent="0.2">
      <c r="B98" s="155">
        <f t="shared" si="2"/>
        <v>84</v>
      </c>
      <c r="C98" s="152" t="str">
        <f>+IFERROR(INDEX(Hoja1!$A$2:$A$82,MATCH(J98,Hoja1!$H$2:$H$82,0)),"")</f>
        <v/>
      </c>
      <c r="D98" s="153" t="str">
        <f>IFERROR(VLOOKUP(C98,Hoja1!$A$2:$H$82,4,0),"")</f>
        <v/>
      </c>
      <c r="E98" s="153" t="str">
        <f>+IFERROR(VLOOKUP(C98,Hoja1!$A$1:$J$82,10,0),"")</f>
        <v/>
      </c>
      <c r="F98" s="153" t="str">
        <f>+IFERROR(VLOOKUP(C98,Hoja1!$A$1:$I$82,3,0),"")</f>
        <v/>
      </c>
      <c r="G98" s="152" t="str">
        <f>+IFERROR(VLOOKUP(C98,Hoja1!$A$1:$K$82,11,0),"")</f>
        <v/>
      </c>
      <c r="H98" s="154" t="str">
        <f>+IFERROR(VLOOKUP(C98,Hoja1!$A$1:$L$82,12,0),"")</f>
        <v/>
      </c>
      <c r="I98" s="56"/>
      <c r="J98" s="93">
        <v>84</v>
      </c>
      <c r="K98" s="92"/>
      <c r="M98" s="89"/>
      <c r="N98" s="62"/>
      <c r="O98" s="62"/>
      <c r="P98" s="62"/>
      <c r="Q98" s="62"/>
      <c r="R98" s="62"/>
      <c r="S98" s="62"/>
    </row>
    <row r="99" spans="2:19" s="52" customFormat="1" ht="99.75" customHeight="1" x14ac:dyDescent="0.2">
      <c r="B99" s="151">
        <f t="shared" si="2"/>
        <v>85</v>
      </c>
      <c r="C99" s="152" t="str">
        <f>+IFERROR(INDEX(Hoja1!$A$2:$A$82,MATCH(J99,Hoja1!$H$2:$H$82,0)),"")</f>
        <v/>
      </c>
      <c r="D99" s="153" t="str">
        <f>IFERROR(VLOOKUP(C99,Hoja1!$A$2:$H$82,4,0),"")</f>
        <v/>
      </c>
      <c r="E99" s="153" t="str">
        <f>+IFERROR(VLOOKUP(C99,Hoja1!$A$1:$J$82,10,0),"")</f>
        <v/>
      </c>
      <c r="F99" s="153" t="str">
        <f>+IFERROR(VLOOKUP(C99,Hoja1!$A$1:$I$82,3,0),"")</f>
        <v/>
      </c>
      <c r="G99" s="152" t="str">
        <f>+IFERROR(VLOOKUP(C99,Hoja1!$A$1:$K$82,11,0),"")</f>
        <v/>
      </c>
      <c r="H99" s="154" t="str">
        <f>+IFERROR(VLOOKUP(C99,Hoja1!$A$1:$L$82,12,0),"")</f>
        <v/>
      </c>
      <c r="I99" s="56"/>
      <c r="J99" s="93">
        <v>85</v>
      </c>
      <c r="K99" s="92"/>
      <c r="M99" s="89"/>
      <c r="N99" s="62"/>
      <c r="O99" s="62"/>
      <c r="P99" s="62"/>
      <c r="Q99" s="62"/>
      <c r="R99" s="62"/>
      <c r="S99" s="62"/>
    </row>
    <row r="100" spans="2:19" s="52" customFormat="1" ht="99.75" customHeight="1" x14ac:dyDescent="0.2">
      <c r="B100" s="151">
        <f t="shared" si="2"/>
        <v>86</v>
      </c>
      <c r="C100" s="152" t="str">
        <f>+IFERROR(INDEX(Hoja1!$A$2:$A$82,MATCH(J100,Hoja1!$H$2:$H$82,0)),"")</f>
        <v/>
      </c>
      <c r="D100" s="153" t="str">
        <f>IFERROR(VLOOKUP(C100,Hoja1!$A$2:$H$82,4,0),"")</f>
        <v/>
      </c>
      <c r="E100" s="153" t="str">
        <f>+IFERROR(VLOOKUP(C100,Hoja1!$A$1:$J$82,10,0),"")</f>
        <v/>
      </c>
      <c r="F100" s="153" t="str">
        <f>+IFERROR(VLOOKUP(C100,Hoja1!$A$1:$I$82,3,0),"")</f>
        <v/>
      </c>
      <c r="G100" s="152" t="str">
        <f>+IFERROR(VLOOKUP(C100,Hoja1!$A$1:$K$82,11,0),"")</f>
        <v/>
      </c>
      <c r="H100" s="154" t="str">
        <f>+IFERROR(VLOOKUP(C100,Hoja1!$A$1:$L$82,12,0),"")</f>
        <v/>
      </c>
      <c r="I100" s="56"/>
      <c r="J100" s="93">
        <v>86</v>
      </c>
      <c r="K100" s="92"/>
      <c r="M100" s="89"/>
      <c r="N100" s="62"/>
      <c r="O100" s="62"/>
      <c r="P100" s="62"/>
      <c r="Q100" s="62"/>
      <c r="R100" s="62"/>
      <c r="S100" s="62"/>
    </row>
    <row r="101" spans="2:19" s="52" customFormat="1" ht="99.75" customHeight="1" x14ac:dyDescent="0.2">
      <c r="B101" s="151">
        <f t="shared" si="2"/>
        <v>87</v>
      </c>
      <c r="C101" s="152" t="str">
        <f>+IFERROR(INDEX(Hoja1!$A$2:$A$82,MATCH(J101,Hoja1!$H$2:$H$82,0)),"")</f>
        <v/>
      </c>
      <c r="D101" s="153" t="str">
        <f>IFERROR(VLOOKUP(C101,Hoja1!$A$2:$H$82,4,0),"")</f>
        <v/>
      </c>
      <c r="E101" s="153" t="str">
        <f>+IFERROR(VLOOKUP(C101,Hoja1!$A$1:$J$82,10,0),"")</f>
        <v/>
      </c>
      <c r="F101" s="153" t="str">
        <f>+IFERROR(VLOOKUP(C101,Hoja1!$A$1:$I$82,3,0),"")</f>
        <v/>
      </c>
      <c r="G101" s="152" t="str">
        <f>+IFERROR(VLOOKUP(C101,Hoja1!$A$1:$K$82,11,0),"")</f>
        <v/>
      </c>
      <c r="H101" s="154" t="str">
        <f>+IFERROR(VLOOKUP(C101,Hoja1!$A$1:$L$82,12,0),"")</f>
        <v/>
      </c>
      <c r="I101" s="56"/>
      <c r="J101" s="93">
        <v>87</v>
      </c>
      <c r="K101" s="92"/>
      <c r="M101" s="89"/>
      <c r="N101" s="62"/>
      <c r="O101" s="62"/>
      <c r="P101" s="62"/>
      <c r="Q101" s="62"/>
      <c r="R101" s="62"/>
      <c r="S101" s="62"/>
    </row>
    <row r="102" spans="2:19" s="52" customFormat="1" ht="99.75" customHeight="1" x14ac:dyDescent="0.2">
      <c r="B102" s="155">
        <f t="shared" si="2"/>
        <v>88</v>
      </c>
      <c r="C102" s="152" t="str">
        <f>+IFERROR(INDEX(Hoja1!$A$2:$A$82,MATCH(J102,Hoja1!$H$2:$H$82,0)),"")</f>
        <v/>
      </c>
      <c r="D102" s="153" t="str">
        <f>IFERROR(VLOOKUP(C102,Hoja1!$A$2:$H$82,4,0),"")</f>
        <v/>
      </c>
      <c r="E102" s="153" t="str">
        <f>+IFERROR(VLOOKUP(C102,Hoja1!$A$1:$J$82,10,0),"")</f>
        <v/>
      </c>
      <c r="F102" s="153" t="str">
        <f>+IFERROR(VLOOKUP(C102,Hoja1!$A$1:$I$82,3,0),"")</f>
        <v/>
      </c>
      <c r="G102" s="152" t="str">
        <f>+IFERROR(VLOOKUP(C102,Hoja1!$A$1:$K$82,11,0),"")</f>
        <v/>
      </c>
      <c r="H102" s="154" t="str">
        <f>+IFERROR(VLOOKUP(C102,Hoja1!$A$1:$L$82,12,0),"")</f>
        <v/>
      </c>
      <c r="I102" s="56"/>
      <c r="J102" s="93">
        <v>88</v>
      </c>
      <c r="K102" s="92"/>
      <c r="M102" s="89"/>
      <c r="N102" s="62"/>
      <c r="O102" s="62"/>
      <c r="P102" s="62"/>
      <c r="Q102" s="62"/>
      <c r="R102" s="62"/>
      <c r="S102" s="62"/>
    </row>
    <row r="103" spans="2:19" s="52" customFormat="1" ht="99.75" customHeight="1" x14ac:dyDescent="0.2">
      <c r="B103" s="151">
        <f t="shared" si="2"/>
        <v>89</v>
      </c>
      <c r="C103" s="152" t="str">
        <f>+IFERROR(INDEX(Hoja1!$A$2:$A$82,MATCH(J103,Hoja1!$H$2:$H$82,0)),"")</f>
        <v/>
      </c>
      <c r="D103" s="153" t="str">
        <f>IFERROR(VLOOKUP(C103,Hoja1!$A$2:$H$82,4,0),"")</f>
        <v/>
      </c>
      <c r="E103" s="153" t="str">
        <f>+IFERROR(VLOOKUP(C103,Hoja1!$A$1:$J$82,10,0),"")</f>
        <v/>
      </c>
      <c r="F103" s="153" t="str">
        <f>+IFERROR(VLOOKUP(C103,Hoja1!$A$1:$I$82,3,0),"")</f>
        <v/>
      </c>
      <c r="G103" s="152" t="str">
        <f>+IFERROR(VLOOKUP(C103,Hoja1!$A$1:$K$82,11,0),"")</f>
        <v/>
      </c>
      <c r="H103" s="154" t="str">
        <f>+IFERROR(VLOOKUP(C103,Hoja1!$A$1:$L$82,12,0),"")</f>
        <v/>
      </c>
      <c r="I103" s="56"/>
      <c r="J103" s="93">
        <v>89</v>
      </c>
      <c r="K103" s="92"/>
      <c r="M103" s="89"/>
      <c r="N103" s="62"/>
      <c r="O103" s="62"/>
      <c r="P103" s="62"/>
      <c r="Q103" s="62"/>
      <c r="R103" s="62"/>
      <c r="S103" s="62"/>
    </row>
    <row r="104" spans="2:19" s="52" customFormat="1" ht="99.75" customHeight="1" x14ac:dyDescent="0.2">
      <c r="B104" s="155">
        <f t="shared" si="2"/>
        <v>90</v>
      </c>
      <c r="C104" s="152" t="str">
        <f>+IFERROR(INDEX(Hoja1!$A$2:$A$82,MATCH(J104,Hoja1!$H$2:$H$82,0)),"")</f>
        <v/>
      </c>
      <c r="D104" s="153" t="str">
        <f>IFERROR(VLOOKUP(C104,Hoja1!$A$2:$H$82,4,0),"")</f>
        <v/>
      </c>
      <c r="E104" s="153" t="str">
        <f>+IFERROR(VLOOKUP(C104,Hoja1!$A$1:$J$82,10,0),"")</f>
        <v/>
      </c>
      <c r="F104" s="153" t="str">
        <f>+IFERROR(VLOOKUP(C104,Hoja1!$A$1:$I$82,3,0),"")</f>
        <v/>
      </c>
      <c r="G104" s="152" t="str">
        <f>+IFERROR(VLOOKUP(C104,Hoja1!$A$1:$K$82,11,0),"")</f>
        <v/>
      </c>
      <c r="H104" s="154" t="str">
        <f>+IFERROR(VLOOKUP(C104,Hoja1!$A$1:$L$82,12,0),"")</f>
        <v/>
      </c>
      <c r="I104" s="56"/>
      <c r="J104" s="93">
        <v>90</v>
      </c>
      <c r="K104" s="92"/>
      <c r="M104" s="89"/>
      <c r="N104" s="62"/>
      <c r="O104" s="62"/>
      <c r="P104" s="62"/>
      <c r="Q104" s="62"/>
      <c r="R104" s="62"/>
      <c r="S104" s="62"/>
    </row>
    <row r="105" spans="2:19" s="52" customFormat="1" ht="99.75" customHeight="1" x14ac:dyDescent="0.2">
      <c r="B105" s="151">
        <f t="shared" si="2"/>
        <v>91</v>
      </c>
      <c r="C105" s="152" t="str">
        <f>+IFERROR(INDEX(Hoja1!$A$2:$A$82,MATCH(J105,Hoja1!$H$2:$H$82,0)),"")</f>
        <v/>
      </c>
      <c r="D105" s="153" t="str">
        <f>IFERROR(VLOOKUP(C105,Hoja1!$A$2:$H$82,4,0),"")</f>
        <v/>
      </c>
      <c r="E105" s="153" t="str">
        <f>+IFERROR(VLOOKUP(C105,Hoja1!$A$1:$J$82,10,0),"")</f>
        <v/>
      </c>
      <c r="F105" s="153" t="str">
        <f>+IFERROR(VLOOKUP(C105,Hoja1!$A$1:$I$82,3,0),"")</f>
        <v/>
      </c>
      <c r="G105" s="152" t="str">
        <f>+IFERROR(VLOOKUP(C105,Hoja1!$A$1:$K$82,11,0),"")</f>
        <v/>
      </c>
      <c r="H105" s="154" t="str">
        <f>+IFERROR(VLOOKUP(C105,Hoja1!$A$1:$L$82,12,0),"")</f>
        <v/>
      </c>
      <c r="I105" s="56"/>
      <c r="J105" s="93">
        <v>91</v>
      </c>
      <c r="K105" s="92"/>
      <c r="M105" s="89"/>
      <c r="N105" s="62"/>
      <c r="O105" s="62"/>
      <c r="P105" s="62"/>
      <c r="Q105" s="62"/>
      <c r="R105" s="62"/>
      <c r="S105" s="62"/>
    </row>
    <row r="106" spans="2:19" s="52" customFormat="1" ht="99.75" customHeight="1" x14ac:dyDescent="0.2">
      <c r="B106" s="151">
        <f t="shared" si="2"/>
        <v>92</v>
      </c>
      <c r="C106" s="152" t="str">
        <f>+IFERROR(INDEX(Hoja1!$A$2:$A$82,MATCH(J106,Hoja1!$H$2:$H$82,0)),"")</f>
        <v/>
      </c>
      <c r="D106" s="153" t="str">
        <f>IFERROR(VLOOKUP(C106,Hoja1!$A$2:$H$82,4,0),"")</f>
        <v/>
      </c>
      <c r="E106" s="153" t="str">
        <f>+IFERROR(VLOOKUP(C106,Hoja1!$A$1:$J$82,10,0),"")</f>
        <v/>
      </c>
      <c r="F106" s="153" t="str">
        <f>+IFERROR(VLOOKUP(C106,Hoja1!$A$1:$I$82,3,0),"")</f>
        <v/>
      </c>
      <c r="G106" s="152" t="str">
        <f>+IFERROR(VLOOKUP(C106,Hoja1!$A$1:$K$82,11,0),"")</f>
        <v/>
      </c>
      <c r="H106" s="154" t="str">
        <f>+IFERROR(VLOOKUP(C106,Hoja1!$A$1:$L$82,12,0),"")</f>
        <v/>
      </c>
      <c r="I106" s="56"/>
      <c r="J106" s="93">
        <v>92</v>
      </c>
      <c r="K106" s="92"/>
      <c r="M106" s="89"/>
      <c r="N106" s="62"/>
      <c r="O106" s="62"/>
      <c r="P106" s="62"/>
      <c r="Q106" s="62"/>
      <c r="R106" s="62"/>
      <c r="S106" s="62"/>
    </row>
    <row r="107" spans="2:19" s="52" customFormat="1" ht="99.75" customHeight="1" x14ac:dyDescent="0.2">
      <c r="B107" s="151">
        <f t="shared" si="2"/>
        <v>93</v>
      </c>
      <c r="C107" s="152" t="str">
        <f>+IFERROR(INDEX(Hoja1!$A$2:$A$82,MATCH(J107,Hoja1!$H$2:$H$82,0)),"")</f>
        <v/>
      </c>
      <c r="D107" s="153" t="str">
        <f>IFERROR(VLOOKUP(C107,Hoja1!$A$2:$H$82,4,0),"")</f>
        <v/>
      </c>
      <c r="E107" s="153" t="str">
        <f>+IFERROR(VLOOKUP(C107,Hoja1!$A$1:$J$82,10,0),"")</f>
        <v/>
      </c>
      <c r="F107" s="153" t="str">
        <f>+IFERROR(VLOOKUP(C107,Hoja1!$A$1:$I$82,3,0),"")</f>
        <v/>
      </c>
      <c r="G107" s="152" t="str">
        <f>+IFERROR(VLOOKUP(C107,Hoja1!$A$1:$K$82,11,0),"")</f>
        <v/>
      </c>
      <c r="H107" s="154" t="str">
        <f>+IFERROR(VLOOKUP(C107,Hoja1!$A$1:$L$82,12,0),"")</f>
        <v/>
      </c>
      <c r="I107" s="56"/>
      <c r="J107" s="93">
        <v>93</v>
      </c>
      <c r="K107" s="92"/>
      <c r="M107" s="89"/>
      <c r="N107" s="62"/>
      <c r="O107" s="62"/>
      <c r="P107" s="62"/>
      <c r="Q107" s="62"/>
      <c r="R107" s="62"/>
      <c r="S107" s="62"/>
    </row>
    <row r="108" spans="2:19" s="52" customFormat="1" ht="99.75" customHeight="1" x14ac:dyDescent="0.2">
      <c r="B108" s="155">
        <f t="shared" si="2"/>
        <v>94</v>
      </c>
      <c r="C108" s="152" t="str">
        <f>+IFERROR(INDEX(Hoja1!$A$2:$A$82,MATCH(J108,Hoja1!$H$2:$H$82,0)),"")</f>
        <v/>
      </c>
      <c r="D108" s="153" t="str">
        <f>IFERROR(VLOOKUP(C108,Hoja1!$A$2:$H$82,4,0),"")</f>
        <v/>
      </c>
      <c r="E108" s="153" t="str">
        <f>+IFERROR(VLOOKUP(C108,Hoja1!$A$1:$J$82,10,0),"")</f>
        <v/>
      </c>
      <c r="F108" s="153" t="str">
        <f>+IFERROR(VLOOKUP(C108,Hoja1!$A$1:$I$82,3,0),"")</f>
        <v/>
      </c>
      <c r="G108" s="152" t="str">
        <f>+IFERROR(VLOOKUP(C108,Hoja1!$A$1:$K$82,11,0),"")</f>
        <v/>
      </c>
      <c r="H108" s="154" t="str">
        <f>+IFERROR(VLOOKUP(C108,Hoja1!$A$1:$L$82,12,0),"")</f>
        <v/>
      </c>
      <c r="I108" s="56"/>
      <c r="J108" s="93">
        <v>94</v>
      </c>
      <c r="K108" s="92"/>
      <c r="M108" s="89"/>
      <c r="N108" s="62"/>
      <c r="O108" s="62"/>
      <c r="P108" s="62"/>
      <c r="Q108" s="62"/>
      <c r="R108" s="62"/>
      <c r="S108" s="62"/>
    </row>
    <row r="109" spans="2:19" s="52" customFormat="1" ht="99.75" customHeight="1" x14ac:dyDescent="0.2">
      <c r="B109" s="151">
        <f t="shared" si="2"/>
        <v>95</v>
      </c>
      <c r="C109" s="152" t="str">
        <f>+IFERROR(INDEX(Hoja1!$A$2:$A$82,MATCH(J109,Hoja1!$H$2:$H$82,0)),"")</f>
        <v/>
      </c>
      <c r="D109" s="153" t="str">
        <f>IFERROR(VLOOKUP(C109,Hoja1!$A$2:$H$82,4,0),"")</f>
        <v/>
      </c>
      <c r="E109" s="153" t="str">
        <f>+IFERROR(VLOOKUP(C109,Hoja1!$A$1:$J$82,10,0),"")</f>
        <v/>
      </c>
      <c r="F109" s="153" t="str">
        <f>+IFERROR(VLOOKUP(C109,Hoja1!$A$1:$I$82,3,0),"")</f>
        <v/>
      </c>
      <c r="G109" s="152" t="str">
        <f>+IFERROR(VLOOKUP(C109,Hoja1!$A$1:$K$82,11,0),"")</f>
        <v/>
      </c>
      <c r="H109" s="154" t="str">
        <f>+IFERROR(VLOOKUP(C109,Hoja1!$A$1:$L$82,12,0),"")</f>
        <v/>
      </c>
      <c r="I109" s="56"/>
      <c r="J109" s="93">
        <v>95</v>
      </c>
      <c r="K109" s="92"/>
      <c r="M109" s="89"/>
      <c r="N109" s="62"/>
      <c r="O109" s="62"/>
      <c r="P109" s="62"/>
      <c r="Q109" s="62"/>
      <c r="R109" s="62"/>
      <c r="S109" s="62"/>
    </row>
    <row r="110" spans="2:19" s="52" customFormat="1" ht="99.75" customHeight="1" x14ac:dyDescent="0.2">
      <c r="B110" s="155">
        <f t="shared" si="2"/>
        <v>96</v>
      </c>
      <c r="C110" s="152" t="str">
        <f>+IFERROR(INDEX(Hoja1!$A$2:$A$82,MATCH(J110,Hoja1!$H$2:$H$82,0)),"")</f>
        <v/>
      </c>
      <c r="D110" s="153" t="str">
        <f>IFERROR(VLOOKUP(C110,Hoja1!$A$2:$H$82,4,0),"")</f>
        <v/>
      </c>
      <c r="E110" s="153" t="str">
        <f>+IFERROR(VLOOKUP(C110,Hoja1!$A$1:$J$82,10,0),"")</f>
        <v/>
      </c>
      <c r="F110" s="153" t="str">
        <f>+IFERROR(VLOOKUP(C110,Hoja1!$A$1:$I$82,3,0),"")</f>
        <v/>
      </c>
      <c r="G110" s="152" t="str">
        <f>+IFERROR(VLOOKUP(C110,Hoja1!$A$1:$K$82,11,0),"")</f>
        <v/>
      </c>
      <c r="H110" s="154" t="str">
        <f>+IFERROR(VLOOKUP(C110,Hoja1!$A$1:$L$82,12,0),"")</f>
        <v/>
      </c>
      <c r="I110" s="56"/>
      <c r="J110" s="93">
        <v>96</v>
      </c>
      <c r="K110" s="92"/>
      <c r="M110" s="89"/>
      <c r="N110" s="62"/>
      <c r="O110" s="62"/>
      <c r="P110" s="62"/>
      <c r="Q110" s="62"/>
      <c r="R110" s="62"/>
      <c r="S110" s="62"/>
    </row>
    <row r="111" spans="2:19" s="52" customFormat="1" ht="99.75" customHeight="1" x14ac:dyDescent="0.2">
      <c r="B111" s="151">
        <f t="shared" si="2"/>
        <v>97</v>
      </c>
      <c r="C111" s="152" t="str">
        <f>+IFERROR(INDEX(Hoja1!$A$2:$A$82,MATCH(J111,Hoja1!$H$2:$H$82,0)),"")</f>
        <v/>
      </c>
      <c r="D111" s="153" t="str">
        <f>IFERROR(VLOOKUP(C111,Hoja1!$A$2:$H$82,4,0),"")</f>
        <v/>
      </c>
      <c r="E111" s="153" t="str">
        <f>+IFERROR(VLOOKUP(C111,Hoja1!$A$1:$J$82,10,0),"")</f>
        <v/>
      </c>
      <c r="F111" s="153" t="str">
        <f>+IFERROR(VLOOKUP(C111,Hoja1!$A$1:$I$82,3,0),"")</f>
        <v/>
      </c>
      <c r="G111" s="152" t="str">
        <f>+IFERROR(VLOOKUP(C111,Hoja1!$A$1:$K$82,11,0),"")</f>
        <v/>
      </c>
      <c r="H111" s="154" t="str">
        <f>+IFERROR(VLOOKUP(C111,Hoja1!$A$1:$L$82,12,0),"")</f>
        <v/>
      </c>
      <c r="I111" s="56"/>
      <c r="J111" s="93">
        <v>97</v>
      </c>
      <c r="K111" s="92"/>
      <c r="M111" s="89"/>
      <c r="N111" s="62"/>
      <c r="O111" s="62"/>
      <c r="P111" s="62"/>
      <c r="Q111" s="62"/>
      <c r="R111" s="62"/>
      <c r="S111" s="62"/>
    </row>
    <row r="112" spans="2:19" s="52" customFormat="1" ht="99.75" customHeight="1" x14ac:dyDescent="0.2">
      <c r="B112" s="151">
        <f t="shared" si="2"/>
        <v>98</v>
      </c>
      <c r="C112" s="152" t="str">
        <f>+IFERROR(INDEX(Hoja1!$A$2:$A$82,MATCH(J112,Hoja1!$H$2:$H$82,0)),"")</f>
        <v/>
      </c>
      <c r="D112" s="153" t="str">
        <f>IFERROR(VLOOKUP(C112,Hoja1!$A$2:$H$82,4,0),"")</f>
        <v/>
      </c>
      <c r="E112" s="153" t="str">
        <f>+IFERROR(VLOOKUP(C112,Hoja1!$A$1:$J$82,10,0),"")</f>
        <v/>
      </c>
      <c r="F112" s="153" t="str">
        <f>+IFERROR(VLOOKUP(C112,Hoja1!$A$1:$I$82,3,0),"")</f>
        <v/>
      </c>
      <c r="G112" s="152" t="str">
        <f>+IFERROR(VLOOKUP(C112,Hoja1!$A$1:$K$82,11,0),"")</f>
        <v/>
      </c>
      <c r="H112" s="154" t="str">
        <f>+IFERROR(VLOOKUP(C112,Hoja1!$A$1:$L$82,12,0),"")</f>
        <v/>
      </c>
      <c r="I112" s="56"/>
      <c r="J112" s="93">
        <v>98</v>
      </c>
      <c r="K112" s="92"/>
      <c r="M112" s="89"/>
      <c r="N112" s="62"/>
      <c r="O112" s="62"/>
      <c r="P112" s="62"/>
      <c r="Q112" s="62"/>
      <c r="R112" s="62"/>
      <c r="S112" s="62"/>
    </row>
    <row r="113" spans="2:19" s="52" customFormat="1" ht="99.75" customHeight="1" x14ac:dyDescent="0.2">
      <c r="B113" s="151">
        <f t="shared" si="2"/>
        <v>99</v>
      </c>
      <c r="C113" s="152" t="str">
        <f>+IFERROR(INDEX(Hoja1!$A$2:$A$82,MATCH(J113,Hoja1!$H$2:$H$82,0)),"")</f>
        <v/>
      </c>
      <c r="D113" s="153" t="str">
        <f>IFERROR(VLOOKUP(C113,Hoja1!$A$2:$H$82,4,0),"")</f>
        <v/>
      </c>
      <c r="E113" s="153" t="str">
        <f>+IFERROR(VLOOKUP(C113,Hoja1!$A$1:$J$82,10,0),"")</f>
        <v/>
      </c>
      <c r="F113" s="153" t="str">
        <f>+IFERROR(VLOOKUP(C113,Hoja1!$A$1:$I$82,3,0),"")</f>
        <v/>
      </c>
      <c r="G113" s="152" t="str">
        <f>+IFERROR(VLOOKUP(C113,Hoja1!$A$1:$K$82,11,0),"")</f>
        <v/>
      </c>
      <c r="H113" s="154" t="str">
        <f>+IFERROR(VLOOKUP(C113,Hoja1!$A$1:$L$82,12,0),"")</f>
        <v/>
      </c>
      <c r="I113" s="56"/>
      <c r="J113" s="93">
        <v>99</v>
      </c>
      <c r="K113" s="92"/>
      <c r="M113" s="89"/>
      <c r="N113" s="62"/>
      <c r="O113" s="62"/>
      <c r="P113" s="62"/>
      <c r="Q113" s="62"/>
      <c r="R113" s="62"/>
      <c r="S113" s="62"/>
    </row>
    <row r="114" spans="2:19" s="52" customFormat="1" ht="99.75" customHeight="1" x14ac:dyDescent="0.2">
      <c r="B114" s="151">
        <f t="shared" si="2"/>
        <v>100</v>
      </c>
      <c r="C114" s="152" t="str">
        <f>+IFERROR(INDEX(Hoja1!$A$2:$A$82,MATCH(J114,Hoja1!$H$2:$H$82,0)),"")</f>
        <v/>
      </c>
      <c r="D114" s="153" t="str">
        <f>IFERROR(VLOOKUP(C114,Hoja1!$A$2:$H$82,4,0),"")</f>
        <v/>
      </c>
      <c r="E114" s="153" t="str">
        <f>+IFERROR(VLOOKUP(C114,Hoja1!$A$1:$J$82,10,0),"")</f>
        <v/>
      </c>
      <c r="F114" s="153" t="str">
        <f>+IFERROR(VLOOKUP(C114,Hoja1!$A$1:$I$82,3,0),"")</f>
        <v/>
      </c>
      <c r="G114" s="152" t="str">
        <f>+IFERROR(VLOOKUP(C114,Hoja1!$A$1:$K$82,11,0),"")</f>
        <v/>
      </c>
      <c r="H114" s="154" t="str">
        <f>+IFERROR(VLOOKUP(C114,Hoja1!$A$1:$L$82,12,0),"")</f>
        <v/>
      </c>
      <c r="I114" s="56"/>
      <c r="J114" s="93">
        <v>100</v>
      </c>
      <c r="K114" s="92"/>
      <c r="M114" s="89"/>
      <c r="N114" s="62"/>
      <c r="O114" s="62"/>
      <c r="P114" s="62"/>
      <c r="Q114" s="62"/>
      <c r="R114" s="62"/>
      <c r="S114" s="62"/>
    </row>
    <row r="115" spans="2:19" s="52" customFormat="1" ht="99.75" customHeight="1" x14ac:dyDescent="0.2">
      <c r="B115" s="155">
        <f t="shared" si="2"/>
        <v>101</v>
      </c>
      <c r="C115" s="152" t="str">
        <f>+IFERROR(INDEX(Hoja1!$A$2:$A$82,MATCH(J115,Hoja1!$H$2:$H$82,0)),"")</f>
        <v/>
      </c>
      <c r="D115" s="153" t="str">
        <f>IFERROR(VLOOKUP(C115,Hoja1!$A$2:$H$82,4,0),"")</f>
        <v/>
      </c>
      <c r="E115" s="153" t="str">
        <f>+IFERROR(VLOOKUP(C115,Hoja1!$A$1:$J$82,10,0),"")</f>
        <v/>
      </c>
      <c r="F115" s="153" t="str">
        <f>+IFERROR(VLOOKUP(C115,Hoja1!$A$1:$I$82,3,0),"")</f>
        <v/>
      </c>
      <c r="G115" s="152" t="str">
        <f>+IFERROR(VLOOKUP(C115,Hoja1!$A$1:$K$82,11,0),"")</f>
        <v/>
      </c>
      <c r="H115" s="154" t="str">
        <f>+IFERROR(VLOOKUP(C115,Hoja1!$A$1:$L$82,12,0),"")</f>
        <v/>
      </c>
      <c r="I115" s="56"/>
      <c r="J115" s="93">
        <v>101</v>
      </c>
      <c r="K115" s="92"/>
      <c r="M115" s="89"/>
      <c r="N115" s="62"/>
      <c r="O115" s="62"/>
      <c r="P115" s="62"/>
      <c r="Q115" s="62"/>
      <c r="R115" s="62"/>
      <c r="S115" s="62"/>
    </row>
    <row r="116" spans="2:19" s="52" customFormat="1" ht="99.75" customHeight="1" x14ac:dyDescent="0.2">
      <c r="B116" s="151">
        <f t="shared" si="2"/>
        <v>102</v>
      </c>
      <c r="C116" s="152" t="str">
        <f>+IFERROR(INDEX(Hoja1!$A$2:$A$82,MATCH(J116,Hoja1!$H$2:$H$82,0)),"")</f>
        <v/>
      </c>
      <c r="D116" s="153" t="str">
        <f>IFERROR(VLOOKUP(C116,Hoja1!$A$2:$H$82,4,0),"")</f>
        <v/>
      </c>
      <c r="E116" s="153" t="str">
        <f>+IFERROR(VLOOKUP(C116,Hoja1!$A$1:$J$82,10,0),"")</f>
        <v/>
      </c>
      <c r="F116" s="153" t="str">
        <f>+IFERROR(VLOOKUP(C116,Hoja1!$A$1:$I$82,3,0),"")</f>
        <v/>
      </c>
      <c r="G116" s="152" t="str">
        <f>+IFERROR(VLOOKUP(C116,Hoja1!$A$1:$K$82,11,0),"")</f>
        <v/>
      </c>
      <c r="H116" s="154" t="str">
        <f>+IFERROR(VLOOKUP(C116,Hoja1!$A$1:$L$82,12,0),"")</f>
        <v/>
      </c>
      <c r="I116" s="56"/>
      <c r="J116" s="93">
        <v>102</v>
      </c>
      <c r="K116" s="92"/>
      <c r="M116" s="89"/>
      <c r="N116" s="62"/>
      <c r="O116" s="62"/>
      <c r="P116" s="62"/>
      <c r="Q116" s="62"/>
      <c r="R116" s="62"/>
      <c r="S116" s="62"/>
    </row>
    <row r="117" spans="2:19" s="52" customFormat="1" ht="99.75" customHeight="1" x14ac:dyDescent="0.2">
      <c r="B117" s="151">
        <f t="shared" si="2"/>
        <v>103</v>
      </c>
      <c r="C117" s="152" t="str">
        <f>+IFERROR(INDEX(Hoja1!$A$2:$A$82,MATCH(J117,Hoja1!$H$2:$H$82,0)),"")</f>
        <v/>
      </c>
      <c r="D117" s="153" t="str">
        <f>IFERROR(VLOOKUP(C117,Hoja1!$A$2:$H$82,4,0),"")</f>
        <v/>
      </c>
      <c r="E117" s="153" t="str">
        <f>+IFERROR(VLOOKUP(C117,Hoja1!$A$1:$J$82,10,0),"")</f>
        <v/>
      </c>
      <c r="F117" s="153" t="str">
        <f>+IFERROR(VLOOKUP(C117,Hoja1!$A$1:$I$82,3,0),"")</f>
        <v/>
      </c>
      <c r="G117" s="152" t="str">
        <f>+IFERROR(VLOOKUP(C117,Hoja1!$A$1:$K$82,11,0),"")</f>
        <v/>
      </c>
      <c r="H117" s="154" t="str">
        <f>+IFERROR(VLOOKUP(C117,Hoja1!$A$1:$L$82,12,0),"")</f>
        <v/>
      </c>
      <c r="I117" s="56"/>
      <c r="J117" s="93">
        <v>103</v>
      </c>
      <c r="K117" s="92"/>
      <c r="M117" s="89"/>
      <c r="N117" s="62"/>
      <c r="O117" s="62"/>
      <c r="P117" s="62"/>
      <c r="Q117" s="62"/>
      <c r="R117" s="62"/>
      <c r="S117" s="62"/>
    </row>
    <row r="118" spans="2:19" s="52" customFormat="1" ht="99.75" customHeight="1" x14ac:dyDescent="0.2">
      <c r="B118" s="151">
        <f t="shared" si="2"/>
        <v>104</v>
      </c>
      <c r="C118" s="152" t="str">
        <f>+IFERROR(INDEX(Hoja1!$A$2:$A$82,MATCH(J118,Hoja1!$H$2:$H$82,0)),"")</f>
        <v/>
      </c>
      <c r="D118" s="153" t="str">
        <f>IFERROR(VLOOKUP(C118,Hoja1!$A$2:$H$82,4,0),"")</f>
        <v/>
      </c>
      <c r="E118" s="153" t="str">
        <f>+IFERROR(VLOOKUP(C118,Hoja1!$A$1:$J$82,10,0),"")</f>
        <v/>
      </c>
      <c r="F118" s="153" t="str">
        <f>+IFERROR(VLOOKUP(C118,Hoja1!$A$1:$I$82,3,0),"")</f>
        <v/>
      </c>
      <c r="G118" s="152" t="str">
        <f>+IFERROR(VLOOKUP(C118,Hoja1!$A$1:$K$82,11,0),"")</f>
        <v/>
      </c>
      <c r="H118" s="154" t="str">
        <f>+IFERROR(VLOOKUP(C118,Hoja1!$A$1:$L$82,12,0),"")</f>
        <v/>
      </c>
      <c r="I118" s="56"/>
      <c r="J118" s="93">
        <v>104</v>
      </c>
      <c r="K118" s="92"/>
      <c r="M118" s="89"/>
      <c r="N118" s="62"/>
      <c r="O118" s="62"/>
      <c r="P118" s="62"/>
      <c r="Q118" s="62"/>
      <c r="R118" s="62"/>
      <c r="S118" s="62"/>
    </row>
    <row r="119" spans="2:19" s="52" customFormat="1" ht="99.75" customHeight="1" x14ac:dyDescent="0.2">
      <c r="B119" s="151">
        <f t="shared" si="2"/>
        <v>105</v>
      </c>
      <c r="C119" s="152" t="str">
        <f>+IFERROR(INDEX(Hoja1!$A$2:$A$82,MATCH(J119,Hoja1!$H$2:$H$82,0)),"")</f>
        <v/>
      </c>
      <c r="D119" s="153" t="str">
        <f>IFERROR(VLOOKUP(C119,Hoja1!$A$2:$H$82,4,0),"")</f>
        <v/>
      </c>
      <c r="E119" s="153" t="str">
        <f>+IFERROR(VLOOKUP(C119,Hoja1!$A$1:$J$82,10,0),"")</f>
        <v/>
      </c>
      <c r="F119" s="153" t="str">
        <f>+IFERROR(VLOOKUP(C119,Hoja1!$A$1:$I$82,3,0),"")</f>
        <v/>
      </c>
      <c r="G119" s="152" t="str">
        <f>+IFERROR(VLOOKUP(C119,Hoja1!$A$1:$K$82,11,0),"")</f>
        <v/>
      </c>
      <c r="H119" s="154" t="str">
        <f>+IFERROR(VLOOKUP(C119,Hoja1!$A$1:$L$82,12,0),"")</f>
        <v/>
      </c>
      <c r="I119" s="56"/>
      <c r="J119" s="93">
        <v>105</v>
      </c>
      <c r="K119" s="92"/>
      <c r="M119" s="89"/>
      <c r="N119" s="62"/>
      <c r="O119" s="62"/>
      <c r="P119" s="62"/>
      <c r="Q119" s="62"/>
      <c r="R119" s="62"/>
      <c r="S119" s="62"/>
    </row>
    <row r="120" spans="2:19" s="52" customFormat="1" ht="99.75" customHeight="1" x14ac:dyDescent="0.2">
      <c r="B120" s="155">
        <f t="shared" si="2"/>
        <v>106</v>
      </c>
      <c r="C120" s="152" t="str">
        <f>+IFERROR(INDEX(Hoja1!$A$2:$A$82,MATCH(J120,Hoja1!$H$2:$H$82,0)),"")</f>
        <v/>
      </c>
      <c r="D120" s="153" t="str">
        <f>IFERROR(VLOOKUP(C120,Hoja1!$A$2:$H$82,4,0),"")</f>
        <v/>
      </c>
      <c r="E120" s="153" t="str">
        <f>+IFERROR(VLOOKUP(C120,Hoja1!$A$1:$J$82,10,0),"")</f>
        <v/>
      </c>
      <c r="F120" s="153" t="str">
        <f>+IFERROR(VLOOKUP(C120,Hoja1!$A$1:$I$82,3,0),"")</f>
        <v/>
      </c>
      <c r="G120" s="152" t="str">
        <f>+IFERROR(VLOOKUP(C120,Hoja1!$A$1:$K$82,11,0),"")</f>
        <v/>
      </c>
      <c r="H120" s="154" t="str">
        <f>+IFERROR(VLOOKUP(C120,Hoja1!$A$1:$L$82,12,0),"")</f>
        <v/>
      </c>
      <c r="I120" s="56"/>
      <c r="J120" s="93">
        <v>106</v>
      </c>
      <c r="K120" s="92"/>
      <c r="M120" s="89"/>
      <c r="N120" s="62"/>
      <c r="O120" s="62"/>
      <c r="P120" s="62"/>
      <c r="Q120" s="62"/>
      <c r="R120" s="62"/>
      <c r="S120" s="62"/>
    </row>
    <row r="121" spans="2:19" s="52" customFormat="1" ht="99.75" customHeight="1" x14ac:dyDescent="0.2">
      <c r="B121" s="151">
        <f t="shared" si="2"/>
        <v>107</v>
      </c>
      <c r="C121" s="152" t="str">
        <f>+IFERROR(INDEX(Hoja1!$A$2:$A$82,MATCH(J121,Hoja1!$H$2:$H$82,0)),"")</f>
        <v/>
      </c>
      <c r="D121" s="153" t="str">
        <f>IFERROR(VLOOKUP(C121,Hoja1!$A$2:$H$82,4,0),"")</f>
        <v/>
      </c>
      <c r="E121" s="153" t="str">
        <f>+IFERROR(VLOOKUP(C121,Hoja1!$A$1:$J$82,10,0),"")</f>
        <v/>
      </c>
      <c r="F121" s="153" t="str">
        <f>+IFERROR(VLOOKUP(C121,Hoja1!$A$1:$I$82,3,0),"")</f>
        <v/>
      </c>
      <c r="G121" s="152" t="str">
        <f>+IFERROR(VLOOKUP(C121,Hoja1!$A$1:$K$82,11,0),"")</f>
        <v/>
      </c>
      <c r="H121" s="154" t="str">
        <f>+IFERROR(VLOOKUP(C121,Hoja1!$A$1:$L$82,12,0),"")</f>
        <v/>
      </c>
      <c r="I121" s="56"/>
      <c r="J121" s="93">
        <v>107</v>
      </c>
      <c r="K121" s="92"/>
      <c r="M121" s="89"/>
      <c r="N121" s="62"/>
      <c r="O121" s="62"/>
      <c r="P121" s="62"/>
      <c r="Q121" s="62"/>
      <c r="R121" s="62"/>
      <c r="S121" s="62"/>
    </row>
    <row r="122" spans="2:19" s="52" customFormat="1" ht="99.75" customHeight="1" x14ac:dyDescent="0.2">
      <c r="B122" s="151">
        <f t="shared" si="2"/>
        <v>108</v>
      </c>
      <c r="C122" s="152" t="str">
        <f>+IFERROR(INDEX(Hoja1!$A$2:$A$82,MATCH(J122,Hoja1!$H$2:$H$82,0)),"")</f>
        <v/>
      </c>
      <c r="D122" s="153" t="str">
        <f>IFERROR(VLOOKUP(C122,Hoja1!$A$2:$H$82,4,0),"")</f>
        <v/>
      </c>
      <c r="E122" s="153" t="str">
        <f>+IFERROR(VLOOKUP(C122,Hoja1!$A$1:$J$82,10,0),"")</f>
        <v/>
      </c>
      <c r="F122" s="153" t="str">
        <f>+IFERROR(VLOOKUP(C122,Hoja1!$A$1:$I$82,3,0),"")</f>
        <v/>
      </c>
      <c r="G122" s="152" t="str">
        <f>+IFERROR(VLOOKUP(C122,Hoja1!$A$1:$K$82,11,0),"")</f>
        <v/>
      </c>
      <c r="H122" s="154" t="str">
        <f>+IFERROR(VLOOKUP(C122,Hoja1!$A$1:$L$82,12,0),"")</f>
        <v/>
      </c>
      <c r="I122" s="56"/>
      <c r="J122" s="93">
        <v>108</v>
      </c>
      <c r="K122" s="92"/>
      <c r="M122" s="89"/>
      <c r="N122" s="62"/>
      <c r="O122" s="62"/>
      <c r="P122" s="62"/>
      <c r="Q122" s="62"/>
      <c r="R122" s="62"/>
      <c r="S122" s="62"/>
    </row>
    <row r="123" spans="2:19" s="52" customFormat="1" ht="99.75" customHeight="1" x14ac:dyDescent="0.2">
      <c r="B123" s="151">
        <f t="shared" si="2"/>
        <v>109</v>
      </c>
      <c r="C123" s="152" t="str">
        <f>+IFERROR(INDEX(Hoja1!$A$2:$A$82,MATCH(J123,Hoja1!$H$2:$H$82,0)),"")</f>
        <v/>
      </c>
      <c r="D123" s="153" t="str">
        <f>IFERROR(VLOOKUP(C123,Hoja1!$A$2:$H$82,4,0),"")</f>
        <v/>
      </c>
      <c r="E123" s="153" t="str">
        <f>+IFERROR(VLOOKUP(C123,Hoja1!$A$1:$J$82,10,0),"")</f>
        <v/>
      </c>
      <c r="F123" s="153" t="str">
        <f>+IFERROR(VLOOKUP(C123,Hoja1!$A$1:$I$82,3,0),"")</f>
        <v/>
      </c>
      <c r="G123" s="152" t="str">
        <f>+IFERROR(VLOOKUP(C123,Hoja1!$A$1:$K$82,11,0),"")</f>
        <v/>
      </c>
      <c r="H123" s="154" t="str">
        <f>+IFERROR(VLOOKUP(C123,Hoja1!$A$1:$L$82,12,0),"")</f>
        <v/>
      </c>
      <c r="I123" s="56"/>
      <c r="J123" s="93">
        <v>109</v>
      </c>
      <c r="K123" s="92"/>
      <c r="M123" s="89"/>
      <c r="N123" s="62"/>
      <c r="O123" s="62"/>
      <c r="P123" s="62"/>
      <c r="Q123" s="62"/>
      <c r="R123" s="62"/>
      <c r="S123" s="62"/>
    </row>
    <row r="124" spans="2:19" s="52" customFormat="1" ht="99.75" customHeight="1" x14ac:dyDescent="0.2">
      <c r="B124" s="151">
        <f t="shared" si="2"/>
        <v>110</v>
      </c>
      <c r="C124" s="152" t="str">
        <f>+IFERROR(INDEX(Hoja1!$A$2:$A$82,MATCH(J124,Hoja1!$H$2:$H$82,0)),"")</f>
        <v/>
      </c>
      <c r="D124" s="153" t="str">
        <f>IFERROR(VLOOKUP(C124,Hoja1!$A$2:$H$82,4,0),"")</f>
        <v/>
      </c>
      <c r="E124" s="153" t="str">
        <f>+IFERROR(VLOOKUP(C124,Hoja1!$A$1:$J$82,10,0),"")</f>
        <v/>
      </c>
      <c r="F124" s="153" t="str">
        <f>+IFERROR(VLOOKUP(C124,Hoja1!$A$1:$I$82,3,0),"")</f>
        <v/>
      </c>
      <c r="G124" s="152" t="str">
        <f>+IFERROR(VLOOKUP(C124,Hoja1!$A$1:$K$82,11,0),"")</f>
        <v/>
      </c>
      <c r="H124" s="154" t="str">
        <f>+IFERROR(VLOOKUP(C124,Hoja1!$A$1:$L$82,12,0),"")</f>
        <v/>
      </c>
      <c r="I124" s="56"/>
      <c r="J124" s="93">
        <v>110</v>
      </c>
      <c r="K124" s="92"/>
      <c r="M124" s="89"/>
      <c r="N124" s="62"/>
      <c r="O124" s="62"/>
      <c r="P124" s="62"/>
      <c r="Q124" s="62"/>
      <c r="R124" s="62"/>
      <c r="S124" s="62"/>
    </row>
    <row r="125" spans="2:19" s="52" customFormat="1" ht="99.75" customHeight="1" x14ac:dyDescent="0.2">
      <c r="B125" s="155">
        <f t="shared" si="2"/>
        <v>111</v>
      </c>
      <c r="C125" s="152" t="str">
        <f>+IFERROR(INDEX(Hoja1!$A$2:$A$82,MATCH(J125,Hoja1!$H$2:$H$82,0)),"")</f>
        <v/>
      </c>
      <c r="D125" s="153" t="str">
        <f>IFERROR(VLOOKUP(C125,Hoja1!$A$2:$H$82,4,0),"")</f>
        <v/>
      </c>
      <c r="E125" s="153" t="str">
        <f>+IFERROR(VLOOKUP(C125,Hoja1!$A$1:$J$82,10,0),"")</f>
        <v/>
      </c>
      <c r="F125" s="153" t="str">
        <f>+IFERROR(VLOOKUP(C125,Hoja1!$A$1:$I$82,3,0),"")</f>
        <v/>
      </c>
      <c r="G125" s="152" t="str">
        <f>+IFERROR(VLOOKUP(C125,Hoja1!$A$1:$K$82,11,0),"")</f>
        <v/>
      </c>
      <c r="H125" s="154" t="str">
        <f>+IFERROR(VLOOKUP(C125,Hoja1!$A$1:$L$82,12,0),"")</f>
        <v/>
      </c>
      <c r="I125" s="56"/>
      <c r="J125" s="93">
        <v>111</v>
      </c>
      <c r="K125" s="92"/>
      <c r="M125" s="89"/>
      <c r="N125" s="62"/>
      <c r="O125" s="62"/>
      <c r="P125" s="62"/>
      <c r="Q125" s="62"/>
      <c r="R125" s="62"/>
      <c r="S125" s="62"/>
    </row>
    <row r="126" spans="2:19" s="52" customFormat="1" ht="99.75" customHeight="1" x14ac:dyDescent="0.2">
      <c r="B126" s="151">
        <f t="shared" si="2"/>
        <v>112</v>
      </c>
      <c r="C126" s="152" t="str">
        <f>+IFERROR(INDEX(Hoja1!$A$2:$A$82,MATCH(J126,Hoja1!$H$2:$H$82,0)),"")</f>
        <v/>
      </c>
      <c r="D126" s="153" t="str">
        <f>IFERROR(VLOOKUP(C126,Hoja1!$A$2:$H$82,4,0),"")</f>
        <v/>
      </c>
      <c r="E126" s="153" t="str">
        <f>+IFERROR(VLOOKUP(C126,Hoja1!$A$1:$J$82,10,0),"")</f>
        <v/>
      </c>
      <c r="F126" s="153" t="str">
        <f>+IFERROR(VLOOKUP(C126,Hoja1!$A$1:$I$82,3,0),"")</f>
        <v/>
      </c>
      <c r="G126" s="152" t="str">
        <f>+IFERROR(VLOOKUP(C126,Hoja1!$A$1:$K$82,11,0),"")</f>
        <v/>
      </c>
      <c r="H126" s="154" t="str">
        <f>+IFERROR(VLOOKUP(C126,Hoja1!$A$1:$L$82,12,0),"")</f>
        <v/>
      </c>
      <c r="I126" s="56"/>
      <c r="J126" s="93">
        <v>112</v>
      </c>
      <c r="K126" s="92"/>
      <c r="M126" s="89"/>
      <c r="N126" s="62"/>
      <c r="O126" s="62"/>
      <c r="P126" s="62"/>
      <c r="Q126" s="62"/>
      <c r="R126" s="62"/>
      <c r="S126" s="62"/>
    </row>
    <row r="127" spans="2:19" s="52" customFormat="1" ht="99.75" customHeight="1" x14ac:dyDescent="0.2">
      <c r="B127" s="151">
        <f t="shared" si="2"/>
        <v>113</v>
      </c>
      <c r="C127" s="152" t="str">
        <f>+IFERROR(INDEX(Hoja1!$A$2:$A$82,MATCH(J127,Hoja1!$H$2:$H$82,0)),"")</f>
        <v/>
      </c>
      <c r="D127" s="153" t="str">
        <f>IFERROR(VLOOKUP(C127,Hoja1!$A$2:$H$82,4,0),"")</f>
        <v/>
      </c>
      <c r="E127" s="153" t="str">
        <f>+IFERROR(VLOOKUP(C127,Hoja1!$A$1:$J$82,10,0),"")</f>
        <v/>
      </c>
      <c r="F127" s="153" t="str">
        <f>+IFERROR(VLOOKUP(C127,Hoja1!$A$1:$I$82,3,0),"")</f>
        <v/>
      </c>
      <c r="G127" s="152" t="str">
        <f>+IFERROR(VLOOKUP(C127,Hoja1!$A$1:$K$82,11,0),"")</f>
        <v/>
      </c>
      <c r="H127" s="154" t="str">
        <f>+IFERROR(VLOOKUP(C127,Hoja1!$A$1:$L$82,12,0),"")</f>
        <v/>
      </c>
      <c r="I127" s="56"/>
      <c r="J127" s="93">
        <v>113</v>
      </c>
      <c r="K127" s="92"/>
      <c r="M127" s="89"/>
      <c r="N127" s="62"/>
      <c r="O127" s="62"/>
      <c r="P127" s="62"/>
      <c r="Q127" s="62"/>
      <c r="R127" s="62"/>
      <c r="S127" s="62"/>
    </row>
    <row r="128" spans="2:19" s="52" customFormat="1" ht="99.75" customHeight="1" x14ac:dyDescent="0.2">
      <c r="B128" s="151">
        <f t="shared" si="2"/>
        <v>114</v>
      </c>
      <c r="C128" s="152" t="str">
        <f>+IFERROR(INDEX(Hoja1!$A$2:$A$82,MATCH(J128,Hoja1!$H$2:$H$82,0)),"")</f>
        <v/>
      </c>
      <c r="D128" s="153" t="str">
        <f>IFERROR(VLOOKUP(C128,Hoja1!$A$2:$H$82,4,0),"")</f>
        <v/>
      </c>
      <c r="E128" s="153" t="str">
        <f>+IFERROR(VLOOKUP(C128,Hoja1!$A$1:$J$82,10,0),"")</f>
        <v/>
      </c>
      <c r="F128" s="153" t="str">
        <f>+IFERROR(VLOOKUP(C128,Hoja1!$A$1:$I$82,3,0),"")</f>
        <v/>
      </c>
      <c r="G128" s="152" t="str">
        <f>+IFERROR(VLOOKUP(C128,Hoja1!$A$1:$K$82,11,0),"")</f>
        <v/>
      </c>
      <c r="H128" s="154" t="str">
        <f>+IFERROR(VLOOKUP(C128,Hoja1!$A$1:$L$82,12,0),"")</f>
        <v/>
      </c>
      <c r="I128" s="56"/>
      <c r="J128" s="93">
        <v>114</v>
      </c>
      <c r="K128" s="92"/>
      <c r="M128" s="89"/>
      <c r="N128" s="62"/>
      <c r="O128" s="62"/>
      <c r="P128" s="62"/>
      <c r="Q128" s="62"/>
      <c r="R128" s="62"/>
      <c r="S128" s="62"/>
    </row>
    <row r="129" spans="2:19" s="52" customFormat="1" ht="99.75" customHeight="1" x14ac:dyDescent="0.2">
      <c r="B129" s="151">
        <f t="shared" si="2"/>
        <v>115</v>
      </c>
      <c r="C129" s="152" t="str">
        <f>+IFERROR(INDEX(Hoja1!$A$2:$A$82,MATCH(J129,Hoja1!$H$2:$H$82,0)),"")</f>
        <v/>
      </c>
      <c r="D129" s="153" t="str">
        <f>IFERROR(VLOOKUP(C129,Hoja1!$A$2:$H$82,4,0),"")</f>
        <v/>
      </c>
      <c r="E129" s="153" t="str">
        <f>+IFERROR(VLOOKUP(C129,Hoja1!$A$1:$J$82,10,0),"")</f>
        <v/>
      </c>
      <c r="F129" s="153" t="str">
        <f>+IFERROR(VLOOKUP(C129,Hoja1!$A$1:$I$82,3,0),"")</f>
        <v/>
      </c>
      <c r="G129" s="152" t="str">
        <f>+IFERROR(VLOOKUP(C129,Hoja1!$A$1:$K$82,11,0),"")</f>
        <v/>
      </c>
      <c r="H129" s="154" t="str">
        <f>+IFERROR(VLOOKUP(C129,Hoja1!$A$1:$L$82,12,0),"")</f>
        <v/>
      </c>
      <c r="I129" s="56"/>
      <c r="J129" s="93">
        <v>115</v>
      </c>
      <c r="K129" s="92"/>
      <c r="M129" s="89"/>
      <c r="N129" s="62"/>
      <c r="O129" s="62"/>
      <c r="P129" s="62"/>
      <c r="Q129" s="62"/>
      <c r="R129" s="62"/>
      <c r="S129" s="62"/>
    </row>
    <row r="130" spans="2:19" s="52" customFormat="1" ht="99.75" customHeight="1" x14ac:dyDescent="0.2">
      <c r="B130" s="155">
        <f t="shared" si="2"/>
        <v>116</v>
      </c>
      <c r="C130" s="152" t="str">
        <f>+IFERROR(INDEX(Hoja1!$A$2:$A$82,MATCH(J130,Hoja1!$H$2:$H$82,0)),"")</f>
        <v/>
      </c>
      <c r="D130" s="153" t="str">
        <f>IFERROR(VLOOKUP(C130,Hoja1!$A$2:$H$82,4,0),"")</f>
        <v/>
      </c>
      <c r="E130" s="153" t="str">
        <f>+IFERROR(VLOOKUP(C130,Hoja1!$A$1:$J$82,10,0),"")</f>
        <v/>
      </c>
      <c r="F130" s="153" t="str">
        <f>+IFERROR(VLOOKUP(C130,Hoja1!$A$1:$I$82,3,0),"")</f>
        <v/>
      </c>
      <c r="G130" s="152" t="str">
        <f>+IFERROR(VLOOKUP(C130,Hoja1!$A$1:$K$82,11,0),"")</f>
        <v/>
      </c>
      <c r="H130" s="154" t="str">
        <f>+IFERROR(VLOOKUP(C130,Hoja1!$A$1:$L$82,12,0),"")</f>
        <v/>
      </c>
      <c r="I130" s="56"/>
      <c r="J130" s="93">
        <v>116</v>
      </c>
      <c r="K130" s="92"/>
      <c r="M130" s="89"/>
      <c r="N130" s="62"/>
      <c r="O130" s="62"/>
      <c r="P130" s="62"/>
      <c r="Q130" s="62"/>
      <c r="R130" s="62"/>
      <c r="S130" s="62"/>
    </row>
    <row r="131" spans="2:19" s="52" customFormat="1" ht="99.75" customHeight="1" x14ac:dyDescent="0.2">
      <c r="B131" s="151">
        <f t="shared" si="2"/>
        <v>117</v>
      </c>
      <c r="C131" s="152" t="str">
        <f>+IFERROR(INDEX(Hoja1!$A$2:$A$82,MATCH(J131,Hoja1!$H$2:$H$82,0)),"")</f>
        <v/>
      </c>
      <c r="D131" s="153" t="str">
        <f>IFERROR(VLOOKUP(C131,Hoja1!$A$2:$H$82,4,0),"")</f>
        <v/>
      </c>
      <c r="E131" s="153" t="str">
        <f>+IFERROR(VLOOKUP(C131,Hoja1!$A$1:$J$82,10,0),"")</f>
        <v/>
      </c>
      <c r="F131" s="153" t="str">
        <f>+IFERROR(VLOOKUP(C131,Hoja1!$A$1:$I$82,3,0),"")</f>
        <v/>
      </c>
      <c r="G131" s="152" t="str">
        <f>+IFERROR(VLOOKUP(C131,Hoja1!$A$1:$K$82,11,0),"")</f>
        <v/>
      </c>
      <c r="H131" s="154" t="str">
        <f>+IFERROR(VLOOKUP(C131,Hoja1!$A$1:$L$82,12,0),"")</f>
        <v/>
      </c>
      <c r="I131" s="56"/>
      <c r="J131" s="93">
        <v>117</v>
      </c>
      <c r="K131" s="92"/>
      <c r="M131" s="89"/>
      <c r="N131" s="62"/>
      <c r="O131" s="62"/>
      <c r="P131" s="62"/>
      <c r="Q131" s="62"/>
      <c r="R131" s="62"/>
      <c r="S131" s="62"/>
    </row>
    <row r="132" spans="2:19" s="52" customFormat="1" ht="99.75" customHeight="1" x14ac:dyDescent="0.2">
      <c r="B132" s="151">
        <f t="shared" si="2"/>
        <v>118</v>
      </c>
      <c r="C132" s="152" t="str">
        <f>+IFERROR(INDEX(Hoja1!$A$2:$A$82,MATCH(J132,Hoja1!$H$2:$H$82,0)),"")</f>
        <v/>
      </c>
      <c r="D132" s="153" t="str">
        <f>IFERROR(VLOOKUP(C132,Hoja1!$A$2:$H$82,4,0),"")</f>
        <v/>
      </c>
      <c r="E132" s="153" t="str">
        <f>+IFERROR(VLOOKUP(C132,Hoja1!$A$1:$J$82,10,0),"")</f>
        <v/>
      </c>
      <c r="F132" s="153" t="str">
        <f>+IFERROR(VLOOKUP(C132,Hoja1!$A$1:$I$82,3,0),"")</f>
        <v/>
      </c>
      <c r="G132" s="152" t="str">
        <f>+IFERROR(VLOOKUP(C132,Hoja1!$A$1:$K$82,11,0),"")</f>
        <v/>
      </c>
      <c r="H132" s="154" t="str">
        <f>+IFERROR(VLOOKUP(C132,Hoja1!$A$1:$L$82,12,0),"")</f>
        <v/>
      </c>
      <c r="I132" s="56"/>
      <c r="J132" s="93">
        <v>118</v>
      </c>
      <c r="K132" s="92"/>
      <c r="M132" s="89"/>
      <c r="N132" s="62"/>
      <c r="O132" s="62"/>
      <c r="P132" s="62"/>
      <c r="Q132" s="62"/>
      <c r="R132" s="62"/>
      <c r="S132" s="62"/>
    </row>
    <row r="133" spans="2:19" s="52" customFormat="1" ht="99.75" customHeight="1" x14ac:dyDescent="0.2">
      <c r="B133" s="151">
        <f t="shared" si="2"/>
        <v>119</v>
      </c>
      <c r="C133" s="152" t="str">
        <f>+IFERROR(INDEX(Hoja1!$A$2:$A$82,MATCH(J133,Hoja1!$H$2:$H$82,0)),"")</f>
        <v/>
      </c>
      <c r="D133" s="153" t="str">
        <f>IFERROR(VLOOKUP(C133,Hoja1!$A$2:$H$82,4,0),"")</f>
        <v/>
      </c>
      <c r="E133" s="153" t="str">
        <f>+IFERROR(VLOOKUP(C133,Hoja1!$A$1:$J$82,10,0),"")</f>
        <v/>
      </c>
      <c r="F133" s="153" t="str">
        <f>+IFERROR(VLOOKUP(C133,Hoja1!$A$1:$I$82,3,0),"")</f>
        <v/>
      </c>
      <c r="G133" s="152" t="str">
        <f>+IFERROR(VLOOKUP(C133,Hoja1!$A$1:$K$82,11,0),"")</f>
        <v/>
      </c>
      <c r="H133" s="154" t="str">
        <f>+IFERROR(VLOOKUP(C133,Hoja1!$A$1:$L$82,12,0),"")</f>
        <v/>
      </c>
      <c r="I133" s="56"/>
      <c r="J133" s="93">
        <v>119</v>
      </c>
      <c r="K133" s="92"/>
      <c r="M133" s="89"/>
      <c r="N133" s="62"/>
      <c r="O133" s="62"/>
      <c r="P133" s="62"/>
      <c r="Q133" s="62"/>
      <c r="R133" s="62"/>
      <c r="S133" s="62"/>
    </row>
    <row r="134" spans="2:19" s="52" customFormat="1" ht="99.75" customHeight="1" x14ac:dyDescent="0.2">
      <c r="B134" s="151">
        <f t="shared" si="2"/>
        <v>120</v>
      </c>
      <c r="C134" s="152" t="str">
        <f>+IFERROR(INDEX(Hoja1!$A$2:$A$82,MATCH(J134,Hoja1!$H$2:$H$82,0)),"")</f>
        <v/>
      </c>
      <c r="D134" s="153" t="str">
        <f>IFERROR(VLOOKUP(C134,Hoja1!$A$2:$H$82,4,0),"")</f>
        <v/>
      </c>
      <c r="E134" s="153" t="str">
        <f>+IFERROR(VLOOKUP(C134,Hoja1!$A$1:$J$82,10,0),"")</f>
        <v/>
      </c>
      <c r="F134" s="153" t="str">
        <f>+IFERROR(VLOOKUP(C134,Hoja1!$A$1:$I$82,3,0),"")</f>
        <v/>
      </c>
      <c r="G134" s="152" t="str">
        <f>+IFERROR(VLOOKUP(C134,Hoja1!$A$1:$K$82,11,0),"")</f>
        <v/>
      </c>
      <c r="H134" s="154" t="str">
        <f>+IFERROR(VLOOKUP(C134,Hoja1!$A$1:$L$82,12,0),"")</f>
        <v/>
      </c>
      <c r="I134" s="56"/>
      <c r="J134" s="93">
        <v>120</v>
      </c>
      <c r="K134" s="92"/>
      <c r="M134" s="89"/>
      <c r="N134" s="62"/>
      <c r="O134" s="62"/>
      <c r="P134" s="62"/>
      <c r="Q134" s="62"/>
      <c r="R134" s="62"/>
      <c r="S134" s="62"/>
    </row>
    <row r="135" spans="2:19" s="52" customFormat="1" ht="99.75" customHeight="1" x14ac:dyDescent="0.2">
      <c r="B135" s="155">
        <f t="shared" si="2"/>
        <v>121</v>
      </c>
      <c r="C135" s="152" t="str">
        <f>+IFERROR(INDEX(Hoja1!$A$2:$A$82,MATCH(J135,Hoja1!$H$2:$H$82,0)),"")</f>
        <v/>
      </c>
      <c r="D135" s="153" t="str">
        <f>IFERROR(VLOOKUP(C135,Hoja1!$A$2:$H$82,4,0),"")</f>
        <v/>
      </c>
      <c r="E135" s="153" t="str">
        <f>+IFERROR(VLOOKUP(C135,Hoja1!$A$1:$J$82,10,0),"")</f>
        <v/>
      </c>
      <c r="F135" s="153" t="str">
        <f>+IFERROR(VLOOKUP(C135,Hoja1!$A$1:$I$82,3,0),"")</f>
        <v/>
      </c>
      <c r="G135" s="152" t="str">
        <f>+IFERROR(VLOOKUP(C135,Hoja1!$A$1:$K$82,11,0),"")</f>
        <v/>
      </c>
      <c r="H135" s="154" t="str">
        <f>+IFERROR(VLOOKUP(C135,Hoja1!$A$1:$L$82,12,0),"")</f>
        <v/>
      </c>
      <c r="I135" s="56"/>
      <c r="J135" s="93">
        <v>121</v>
      </c>
      <c r="K135" s="92"/>
      <c r="M135" s="89"/>
      <c r="N135" s="62"/>
      <c r="O135" s="62"/>
      <c r="P135" s="62"/>
      <c r="Q135" s="62"/>
      <c r="R135" s="62"/>
      <c r="S135" s="62"/>
    </row>
    <row r="136" spans="2:19" s="52" customFormat="1" ht="99.75" customHeight="1" x14ac:dyDescent="0.2">
      <c r="B136" s="151">
        <f t="shared" si="2"/>
        <v>122</v>
      </c>
      <c r="C136" s="152" t="str">
        <f>+IFERROR(INDEX(Hoja1!$A$2:$A$82,MATCH(J136,Hoja1!$H$2:$H$82,0)),"")</f>
        <v/>
      </c>
      <c r="D136" s="153" t="str">
        <f>IFERROR(VLOOKUP(C136,Hoja1!$A$2:$H$82,4,0),"")</f>
        <v/>
      </c>
      <c r="E136" s="153" t="str">
        <f>+IFERROR(VLOOKUP(C136,Hoja1!$A$1:$J$82,10,0),"")</f>
        <v/>
      </c>
      <c r="F136" s="153" t="str">
        <f>+IFERROR(VLOOKUP(C136,Hoja1!$A$1:$I$82,3,0),"")</f>
        <v/>
      </c>
      <c r="G136" s="152" t="str">
        <f>+IFERROR(VLOOKUP(C136,Hoja1!$A$1:$K$82,11,0),"")</f>
        <v/>
      </c>
      <c r="H136" s="154" t="str">
        <f>+IFERROR(VLOOKUP(C136,Hoja1!$A$1:$L$82,12,0),"")</f>
        <v/>
      </c>
      <c r="I136" s="56"/>
      <c r="J136" s="93">
        <v>122</v>
      </c>
      <c r="K136" s="92"/>
      <c r="M136" s="89"/>
      <c r="N136" s="62"/>
      <c r="O136" s="62"/>
      <c r="P136" s="62"/>
      <c r="Q136" s="62"/>
      <c r="R136" s="62"/>
      <c r="S136" s="62"/>
    </row>
    <row r="137" spans="2:19" s="52" customFormat="1" ht="99.75" customHeight="1" x14ac:dyDescent="0.2">
      <c r="B137" s="151">
        <f t="shared" si="2"/>
        <v>123</v>
      </c>
      <c r="C137" s="152" t="str">
        <f>+IFERROR(INDEX(Hoja1!$A$2:$A$82,MATCH(J137,Hoja1!$H$2:$H$82,0)),"")</f>
        <v/>
      </c>
      <c r="D137" s="153" t="str">
        <f>IFERROR(VLOOKUP(C137,Hoja1!$A$2:$H$82,4,0),"")</f>
        <v/>
      </c>
      <c r="E137" s="153" t="str">
        <f>+IFERROR(VLOOKUP(C137,Hoja1!$A$1:$J$82,10,0),"")</f>
        <v/>
      </c>
      <c r="F137" s="153" t="str">
        <f>+IFERROR(VLOOKUP(C137,Hoja1!$A$1:$I$82,3,0),"")</f>
        <v/>
      </c>
      <c r="G137" s="152" t="str">
        <f>+IFERROR(VLOOKUP(C137,Hoja1!$A$1:$K$82,11,0),"")</f>
        <v/>
      </c>
      <c r="H137" s="154" t="str">
        <f>+IFERROR(VLOOKUP(C137,Hoja1!$A$1:$L$82,12,0),"")</f>
        <v/>
      </c>
      <c r="I137" s="56"/>
      <c r="J137" s="93">
        <v>123</v>
      </c>
      <c r="K137" s="92"/>
      <c r="M137" s="89"/>
      <c r="N137" s="62"/>
      <c r="O137" s="62"/>
      <c r="P137" s="62"/>
      <c r="Q137" s="62"/>
      <c r="R137" s="62"/>
      <c r="S137" s="62"/>
    </row>
    <row r="138" spans="2:19" s="52" customFormat="1" ht="99.75" customHeight="1" x14ac:dyDescent="0.2">
      <c r="B138" s="151">
        <f t="shared" si="2"/>
        <v>124</v>
      </c>
      <c r="C138" s="152" t="str">
        <f>+IFERROR(INDEX(Hoja1!$A$2:$A$82,MATCH(J138,Hoja1!$H$2:$H$82,0)),"")</f>
        <v/>
      </c>
      <c r="D138" s="153" t="str">
        <f>IFERROR(VLOOKUP(C138,Hoja1!$A$2:$H$82,4,0),"")</f>
        <v/>
      </c>
      <c r="E138" s="153" t="str">
        <f>+IFERROR(VLOOKUP(C138,Hoja1!$A$1:$J$82,10,0),"")</f>
        <v/>
      </c>
      <c r="F138" s="153" t="str">
        <f>+IFERROR(VLOOKUP(C138,Hoja1!$A$1:$I$82,3,0),"")</f>
        <v/>
      </c>
      <c r="G138" s="152" t="str">
        <f>+IFERROR(VLOOKUP(C138,Hoja1!$A$1:$K$82,11,0),"")</f>
        <v/>
      </c>
      <c r="H138" s="154" t="str">
        <f>+IFERROR(VLOOKUP(C138,Hoja1!$A$1:$L$82,12,0),"")</f>
        <v/>
      </c>
      <c r="I138" s="56"/>
      <c r="J138" s="93">
        <v>124</v>
      </c>
      <c r="K138" s="92"/>
      <c r="M138" s="89"/>
      <c r="N138" s="62"/>
      <c r="O138" s="62"/>
      <c r="P138" s="62"/>
      <c r="Q138" s="62"/>
      <c r="R138" s="62"/>
      <c r="S138" s="62"/>
    </row>
    <row r="139" spans="2:19" s="52" customFormat="1" ht="99.75" customHeight="1" x14ac:dyDescent="0.2">
      <c r="B139" s="151">
        <f t="shared" si="2"/>
        <v>125</v>
      </c>
      <c r="C139" s="152" t="str">
        <f>+IFERROR(INDEX(Hoja1!$A$2:$A$82,MATCH(J139,Hoja1!$H$2:$H$82,0)),"")</f>
        <v/>
      </c>
      <c r="D139" s="153" t="str">
        <f>IFERROR(VLOOKUP(C139,Hoja1!$A$2:$H$82,4,0),"")</f>
        <v/>
      </c>
      <c r="E139" s="153" t="str">
        <f>+IFERROR(VLOOKUP(C139,Hoja1!$A$1:$J$82,10,0),"")</f>
        <v/>
      </c>
      <c r="F139" s="153" t="str">
        <f>+IFERROR(VLOOKUP(C139,Hoja1!$A$1:$I$82,3,0),"")</f>
        <v/>
      </c>
      <c r="G139" s="152" t="str">
        <f>+IFERROR(VLOOKUP(C139,Hoja1!$A$1:$K$82,11,0),"")</f>
        <v/>
      </c>
      <c r="H139" s="154" t="str">
        <f>+IFERROR(VLOOKUP(C139,Hoja1!$A$1:$L$82,12,0),"")</f>
        <v/>
      </c>
      <c r="I139" s="56"/>
      <c r="J139" s="93">
        <v>125</v>
      </c>
      <c r="K139" s="92"/>
      <c r="M139" s="89"/>
      <c r="N139" s="62"/>
      <c r="O139" s="62"/>
      <c r="P139" s="62"/>
      <c r="Q139" s="62"/>
      <c r="R139" s="62"/>
      <c r="S139" s="62"/>
    </row>
    <row r="140" spans="2:19" s="52" customFormat="1" ht="99.75" customHeight="1" x14ac:dyDescent="0.2">
      <c r="B140" s="155">
        <f t="shared" si="2"/>
        <v>126</v>
      </c>
      <c r="C140" s="152" t="str">
        <f>+IFERROR(INDEX(Hoja1!$A$2:$A$82,MATCH(J140,Hoja1!$H$2:$H$82,0)),"")</f>
        <v/>
      </c>
      <c r="D140" s="153" t="str">
        <f>IFERROR(VLOOKUP(C140,Hoja1!$A$2:$H$82,4,0),"")</f>
        <v/>
      </c>
      <c r="E140" s="153" t="str">
        <f>+IFERROR(VLOOKUP(C140,Hoja1!$A$1:$J$82,10,0),"")</f>
        <v/>
      </c>
      <c r="F140" s="153" t="str">
        <f>+IFERROR(VLOOKUP(C140,Hoja1!$A$1:$I$82,3,0),"")</f>
        <v/>
      </c>
      <c r="G140" s="152" t="str">
        <f>+IFERROR(VLOOKUP(C140,Hoja1!$A$1:$K$82,11,0),"")</f>
        <v/>
      </c>
      <c r="H140" s="154" t="str">
        <f>+IFERROR(VLOOKUP(C140,Hoja1!$A$1:$L$82,12,0),"")</f>
        <v/>
      </c>
      <c r="I140" s="56"/>
      <c r="J140" s="93">
        <v>126</v>
      </c>
      <c r="K140" s="92"/>
      <c r="M140" s="89"/>
      <c r="N140" s="62"/>
      <c r="O140" s="62"/>
      <c r="P140" s="62"/>
      <c r="Q140" s="62"/>
      <c r="R140" s="62"/>
      <c r="S140" s="62"/>
    </row>
    <row r="141" spans="2:19" s="52" customFormat="1" ht="99.75" customHeight="1" x14ac:dyDescent="0.2">
      <c r="B141" s="151">
        <f t="shared" si="2"/>
        <v>127</v>
      </c>
      <c r="C141" s="152" t="str">
        <f>+IFERROR(INDEX(Hoja1!$A$2:$A$82,MATCH(J141,Hoja1!$H$2:$H$82,0)),"")</f>
        <v/>
      </c>
      <c r="D141" s="153" t="str">
        <f>IFERROR(VLOOKUP(C141,Hoja1!$A$2:$H$82,4,0),"")</f>
        <v/>
      </c>
      <c r="E141" s="153" t="str">
        <f>+IFERROR(VLOOKUP(C141,Hoja1!$A$1:$J$82,10,0),"")</f>
        <v/>
      </c>
      <c r="F141" s="153" t="str">
        <f>+IFERROR(VLOOKUP(C141,Hoja1!$A$1:$I$82,3,0),"")</f>
        <v/>
      </c>
      <c r="G141" s="152" t="str">
        <f>+IFERROR(VLOOKUP(C141,Hoja1!$A$1:$K$82,11,0),"")</f>
        <v/>
      </c>
      <c r="H141" s="154" t="str">
        <f>+IFERROR(VLOOKUP(C141,Hoja1!$A$1:$L$82,12,0),"")</f>
        <v/>
      </c>
      <c r="I141" s="56"/>
      <c r="J141" s="93">
        <v>127</v>
      </c>
      <c r="K141" s="92"/>
      <c r="M141" s="89"/>
      <c r="N141" s="62"/>
      <c r="O141" s="62"/>
      <c r="P141" s="62"/>
      <c r="Q141" s="62"/>
      <c r="R141" s="62"/>
      <c r="S141" s="62"/>
    </row>
    <row r="142" spans="2:19" s="52" customFormat="1" ht="99.75" customHeight="1" x14ac:dyDescent="0.2">
      <c r="B142" s="151">
        <f t="shared" si="2"/>
        <v>128</v>
      </c>
      <c r="C142" s="152" t="str">
        <f>+IFERROR(INDEX(Hoja1!$A$2:$A$82,MATCH(J142,Hoja1!$H$2:$H$82,0)),"")</f>
        <v/>
      </c>
      <c r="D142" s="153" t="str">
        <f>IFERROR(VLOOKUP(C142,Hoja1!$A$2:$H$82,4,0),"")</f>
        <v/>
      </c>
      <c r="E142" s="153" t="str">
        <f>+IFERROR(VLOOKUP(C142,Hoja1!$A$1:$J$82,10,0),"")</f>
        <v/>
      </c>
      <c r="F142" s="153" t="str">
        <f>+IFERROR(VLOOKUP(C142,Hoja1!$A$1:$I$82,3,0),"")</f>
        <v/>
      </c>
      <c r="G142" s="152" t="str">
        <f>+IFERROR(VLOOKUP(C142,Hoja1!$A$1:$K$82,11,0),"")</f>
        <v/>
      </c>
      <c r="H142" s="154" t="str">
        <f>+IFERROR(VLOOKUP(C142,Hoja1!$A$1:$L$82,12,0),"")</f>
        <v/>
      </c>
      <c r="I142" s="56"/>
      <c r="J142" s="93">
        <v>128</v>
      </c>
      <c r="K142" s="92"/>
      <c r="M142" s="89"/>
      <c r="N142" s="62"/>
      <c r="O142" s="62"/>
      <c r="P142" s="62"/>
      <c r="Q142" s="62"/>
      <c r="R142" s="62"/>
      <c r="S142" s="62"/>
    </row>
    <row r="143" spans="2:19" s="52" customFormat="1" ht="99.75" customHeight="1" x14ac:dyDescent="0.2">
      <c r="B143" s="151">
        <f t="shared" si="2"/>
        <v>129</v>
      </c>
      <c r="C143" s="152" t="str">
        <f>+IFERROR(INDEX(Hoja1!$A$2:$A$82,MATCH(J143,Hoja1!$H$2:$H$82,0)),"")</f>
        <v/>
      </c>
      <c r="D143" s="153" t="str">
        <f>IFERROR(VLOOKUP(C143,Hoja1!$A$2:$H$82,4,0),"")</f>
        <v/>
      </c>
      <c r="E143" s="153" t="str">
        <f>+IFERROR(VLOOKUP(C143,Hoja1!$A$1:$J$82,10,0),"")</f>
        <v/>
      </c>
      <c r="F143" s="153" t="str">
        <f>+IFERROR(VLOOKUP(C143,Hoja1!$A$1:$I$82,3,0),"")</f>
        <v/>
      </c>
      <c r="G143" s="152" t="str">
        <f>+IFERROR(VLOOKUP(C143,Hoja1!$A$1:$K$82,11,0),"")</f>
        <v/>
      </c>
      <c r="H143" s="154" t="str">
        <f>+IFERROR(VLOOKUP(C143,Hoja1!$A$1:$L$82,12,0),"")</f>
        <v/>
      </c>
      <c r="I143" s="56"/>
      <c r="J143" s="93">
        <v>129</v>
      </c>
      <c r="K143" s="92"/>
      <c r="M143" s="89"/>
      <c r="N143" s="62"/>
      <c r="O143" s="62"/>
      <c r="P143" s="62"/>
      <c r="Q143" s="62"/>
      <c r="R143" s="62"/>
      <c r="S143" s="62"/>
    </row>
    <row r="144" spans="2:19" s="52" customFormat="1" ht="99.75" customHeight="1" x14ac:dyDescent="0.2">
      <c r="B144" s="151">
        <f t="shared" ref="B144:B164" si="4">+IF(ISTEXT(D144),J144,"")</f>
        <v>130</v>
      </c>
      <c r="C144" s="152" t="str">
        <f>+IFERROR(INDEX(Hoja1!$A$2:$A$82,MATCH(J144,Hoja1!$H$2:$H$82,0)),"")</f>
        <v/>
      </c>
      <c r="D144" s="153" t="str">
        <f>IFERROR(VLOOKUP(C144,Hoja1!$A$2:$H$82,4,0),"")</f>
        <v/>
      </c>
      <c r="E144" s="153" t="str">
        <f>+IFERROR(VLOOKUP(C144,Hoja1!$A$1:$J$82,10,0),"")</f>
        <v/>
      </c>
      <c r="F144" s="153" t="str">
        <f>+IFERROR(VLOOKUP(C144,Hoja1!$A$1:$I$82,3,0),"")</f>
        <v/>
      </c>
      <c r="G144" s="152" t="str">
        <f>+IFERROR(VLOOKUP(C144,Hoja1!$A$1:$K$82,11,0),"")</f>
        <v/>
      </c>
      <c r="H144" s="154" t="str">
        <f>+IFERROR(VLOOKUP(C144,Hoja1!$A$1:$L$82,12,0),"")</f>
        <v/>
      </c>
      <c r="I144" s="56"/>
      <c r="J144" s="93">
        <v>130</v>
      </c>
      <c r="K144" s="92"/>
      <c r="M144" s="89"/>
      <c r="N144" s="62"/>
      <c r="O144" s="62"/>
      <c r="P144" s="62"/>
      <c r="Q144" s="62"/>
      <c r="R144" s="62"/>
      <c r="S144" s="62"/>
    </row>
    <row r="145" spans="2:19" s="52" customFormat="1" ht="99.75" customHeight="1" x14ac:dyDescent="0.2">
      <c r="B145" s="155">
        <f t="shared" si="4"/>
        <v>131</v>
      </c>
      <c r="C145" s="152" t="str">
        <f>+IFERROR(INDEX(Hoja1!$A$2:$A$82,MATCH(J145,Hoja1!$H$2:$H$82,0)),"")</f>
        <v/>
      </c>
      <c r="D145" s="153" t="str">
        <f>IFERROR(VLOOKUP(C145,Hoja1!$A$2:$H$82,4,0),"")</f>
        <v/>
      </c>
      <c r="E145" s="153" t="str">
        <f>+IFERROR(VLOOKUP(C145,Hoja1!$A$1:$J$82,10,0),"")</f>
        <v/>
      </c>
      <c r="F145" s="153" t="str">
        <f>+IFERROR(VLOOKUP(C145,Hoja1!$A$1:$I$82,3,0),"")</f>
        <v/>
      </c>
      <c r="G145" s="152" t="str">
        <f>+IFERROR(VLOOKUP(C145,Hoja1!$A$1:$K$82,11,0),"")</f>
        <v/>
      </c>
      <c r="H145" s="154" t="str">
        <f>+IFERROR(VLOOKUP(C145,Hoja1!$A$1:$L$82,12,0),"")</f>
        <v/>
      </c>
      <c r="I145" s="56"/>
      <c r="J145" s="93">
        <v>131</v>
      </c>
      <c r="K145" s="92"/>
      <c r="M145" s="89"/>
      <c r="N145" s="62"/>
      <c r="O145" s="62"/>
      <c r="P145" s="62"/>
      <c r="Q145" s="62"/>
      <c r="R145" s="62"/>
      <c r="S145" s="62"/>
    </row>
    <row r="146" spans="2:19" s="52" customFormat="1" ht="99.75" customHeight="1" x14ac:dyDescent="0.2">
      <c r="B146" s="151">
        <f t="shared" si="4"/>
        <v>132</v>
      </c>
      <c r="C146" s="152" t="str">
        <f>+IFERROR(INDEX(Hoja1!$A$2:$A$82,MATCH(J146,Hoja1!$H$2:$H$82,0)),"")</f>
        <v/>
      </c>
      <c r="D146" s="153" t="str">
        <f>IFERROR(VLOOKUP(C146,Hoja1!$A$2:$H$82,4,0),"")</f>
        <v/>
      </c>
      <c r="E146" s="153" t="str">
        <f>+IFERROR(VLOOKUP(C146,Hoja1!$A$1:$J$82,10,0),"")</f>
        <v/>
      </c>
      <c r="F146" s="153" t="str">
        <f>+IFERROR(VLOOKUP(C146,Hoja1!$A$1:$I$82,3,0),"")</f>
        <v/>
      </c>
      <c r="G146" s="152" t="str">
        <f>+IFERROR(VLOOKUP(C146,Hoja1!$A$1:$K$82,11,0),"")</f>
        <v/>
      </c>
      <c r="H146" s="154" t="str">
        <f>+IFERROR(VLOOKUP(C146,Hoja1!$A$1:$L$82,12,0),"")</f>
        <v/>
      </c>
      <c r="I146" s="56"/>
      <c r="J146" s="93">
        <v>132</v>
      </c>
      <c r="K146" s="92"/>
      <c r="M146" s="89"/>
      <c r="N146" s="62"/>
      <c r="O146" s="62"/>
      <c r="P146" s="62"/>
      <c r="Q146" s="62"/>
      <c r="R146" s="62"/>
      <c r="S146" s="62"/>
    </row>
    <row r="147" spans="2:19" s="52" customFormat="1" ht="99.75" customHeight="1" x14ac:dyDescent="0.2">
      <c r="B147" s="151">
        <f t="shared" si="4"/>
        <v>133</v>
      </c>
      <c r="C147" s="152" t="str">
        <f>+IFERROR(INDEX(Hoja1!$A$2:$A$82,MATCH(J147,Hoja1!$H$2:$H$82,0)),"")</f>
        <v/>
      </c>
      <c r="D147" s="153" t="str">
        <f>IFERROR(VLOOKUP(C147,Hoja1!$A$2:$H$82,4,0),"")</f>
        <v/>
      </c>
      <c r="E147" s="153" t="str">
        <f>+IFERROR(VLOOKUP(C147,Hoja1!$A$1:$J$82,10,0),"")</f>
        <v/>
      </c>
      <c r="F147" s="153" t="str">
        <f>+IFERROR(VLOOKUP(C147,Hoja1!$A$1:$I$82,3,0),"")</f>
        <v/>
      </c>
      <c r="G147" s="152" t="str">
        <f>+IFERROR(VLOOKUP(C147,Hoja1!$A$1:$K$82,11,0),"")</f>
        <v/>
      </c>
      <c r="H147" s="154" t="str">
        <f>+IFERROR(VLOOKUP(C147,Hoja1!$A$1:$L$82,12,0),"")</f>
        <v/>
      </c>
      <c r="I147" s="56"/>
      <c r="J147" s="93">
        <v>133</v>
      </c>
      <c r="K147" s="92"/>
      <c r="M147" s="89"/>
      <c r="N147" s="62"/>
      <c r="O147" s="62"/>
      <c r="P147" s="62"/>
      <c r="Q147" s="62"/>
      <c r="R147" s="62"/>
      <c r="S147" s="62"/>
    </row>
    <row r="148" spans="2:19" s="52" customFormat="1" ht="99.75" customHeight="1" x14ac:dyDescent="0.2">
      <c r="B148" s="151">
        <f t="shared" si="4"/>
        <v>134</v>
      </c>
      <c r="C148" s="152" t="str">
        <f>+IFERROR(INDEX(Hoja1!$A$2:$A$82,MATCH(J148,Hoja1!$H$2:$H$82,0)),"")</f>
        <v/>
      </c>
      <c r="D148" s="153" t="str">
        <f>IFERROR(VLOOKUP(C148,Hoja1!$A$2:$H$82,4,0),"")</f>
        <v/>
      </c>
      <c r="E148" s="153" t="str">
        <f>+IFERROR(VLOOKUP(C148,Hoja1!$A$1:$J$82,10,0),"")</f>
        <v/>
      </c>
      <c r="F148" s="153" t="str">
        <f>+IFERROR(VLOOKUP(C148,Hoja1!$A$1:$I$82,3,0),"")</f>
        <v/>
      </c>
      <c r="G148" s="152" t="str">
        <f>+IFERROR(VLOOKUP(C148,Hoja1!$A$1:$K$82,11,0),"")</f>
        <v/>
      </c>
      <c r="H148" s="154" t="str">
        <f>+IFERROR(VLOOKUP(C148,Hoja1!$A$1:$L$82,12,0),"")</f>
        <v/>
      </c>
      <c r="I148" s="56"/>
      <c r="J148" s="93">
        <v>134</v>
      </c>
      <c r="K148" s="92"/>
      <c r="M148" s="89"/>
      <c r="N148" s="62"/>
      <c r="O148" s="62"/>
      <c r="P148" s="62"/>
      <c r="Q148" s="62"/>
      <c r="R148" s="62"/>
      <c r="S148" s="62"/>
    </row>
    <row r="149" spans="2:19" s="52" customFormat="1" ht="99.75" customHeight="1" x14ac:dyDescent="0.2">
      <c r="B149" s="151">
        <f t="shared" si="4"/>
        <v>135</v>
      </c>
      <c r="C149" s="152" t="str">
        <f>+IFERROR(INDEX(Hoja1!$A$2:$A$82,MATCH(J149,Hoja1!$H$2:$H$82,0)),"")</f>
        <v/>
      </c>
      <c r="D149" s="153" t="str">
        <f>IFERROR(VLOOKUP(C149,Hoja1!$A$2:$H$82,4,0),"")</f>
        <v/>
      </c>
      <c r="E149" s="153" t="str">
        <f>+IFERROR(VLOOKUP(C149,Hoja1!$A$1:$J$82,10,0),"")</f>
        <v/>
      </c>
      <c r="F149" s="153" t="str">
        <f>+IFERROR(VLOOKUP(C149,Hoja1!$A$1:$I$82,3,0),"")</f>
        <v/>
      </c>
      <c r="G149" s="152" t="str">
        <f>+IFERROR(VLOOKUP(C149,Hoja1!$A$1:$K$82,11,0),"")</f>
        <v/>
      </c>
      <c r="H149" s="154" t="str">
        <f>+IFERROR(VLOOKUP(C149,Hoja1!$A$1:$L$82,12,0),"")</f>
        <v/>
      </c>
      <c r="I149" s="56"/>
      <c r="J149" s="93">
        <v>135</v>
      </c>
      <c r="K149" s="92"/>
      <c r="M149" s="89"/>
      <c r="N149" s="62"/>
      <c r="O149" s="62"/>
      <c r="P149" s="62"/>
      <c r="Q149" s="62"/>
      <c r="R149" s="62"/>
      <c r="S149" s="62"/>
    </row>
    <row r="150" spans="2:19" s="52" customFormat="1" ht="99.75" customHeight="1" x14ac:dyDescent="0.2">
      <c r="B150" s="155">
        <f t="shared" si="4"/>
        <v>136</v>
      </c>
      <c r="C150" s="152" t="str">
        <f>+IFERROR(INDEX(Hoja1!$A$2:$A$82,MATCH(J150,Hoja1!$H$2:$H$82,0)),"")</f>
        <v/>
      </c>
      <c r="D150" s="153" t="str">
        <f>IFERROR(VLOOKUP(C150,Hoja1!$A$2:$H$82,4,0),"")</f>
        <v/>
      </c>
      <c r="E150" s="153" t="str">
        <f>+IFERROR(VLOOKUP(C150,Hoja1!$A$1:$J$82,10,0),"")</f>
        <v/>
      </c>
      <c r="F150" s="153" t="str">
        <f>+IFERROR(VLOOKUP(C150,Hoja1!$A$1:$I$82,3,0),"")</f>
        <v/>
      </c>
      <c r="G150" s="152" t="str">
        <f>+IFERROR(VLOOKUP(C150,Hoja1!$A$1:$K$82,11,0),"")</f>
        <v/>
      </c>
      <c r="H150" s="154" t="str">
        <f>+IFERROR(VLOOKUP(C150,Hoja1!$A$1:$L$82,12,0),"")</f>
        <v/>
      </c>
      <c r="I150" s="56"/>
      <c r="J150" s="93">
        <v>136</v>
      </c>
      <c r="K150" s="92"/>
      <c r="M150" s="89"/>
      <c r="N150" s="62"/>
      <c r="O150" s="62"/>
      <c r="P150" s="62"/>
      <c r="Q150" s="62"/>
      <c r="R150" s="62"/>
      <c r="S150" s="62"/>
    </row>
    <row r="151" spans="2:19" s="52" customFormat="1" ht="99.75" customHeight="1" x14ac:dyDescent="0.2">
      <c r="B151" s="151">
        <f t="shared" si="4"/>
        <v>137</v>
      </c>
      <c r="C151" s="152" t="str">
        <f>+IFERROR(INDEX(Hoja1!$A$2:$A$82,MATCH(J151,Hoja1!$H$2:$H$82,0)),"")</f>
        <v/>
      </c>
      <c r="D151" s="153" t="str">
        <f>IFERROR(VLOOKUP(C151,Hoja1!$A$2:$H$82,4,0),"")</f>
        <v/>
      </c>
      <c r="E151" s="153" t="str">
        <f>+IFERROR(VLOOKUP(C151,Hoja1!$A$1:$J$82,10,0),"")</f>
        <v/>
      </c>
      <c r="F151" s="153" t="str">
        <f>+IFERROR(VLOOKUP(C151,Hoja1!$A$1:$I$82,3,0),"")</f>
        <v/>
      </c>
      <c r="G151" s="152" t="str">
        <f>+IFERROR(VLOOKUP(C151,Hoja1!$A$1:$K$82,11,0),"")</f>
        <v/>
      </c>
      <c r="H151" s="154" t="str">
        <f>+IFERROR(VLOOKUP(C151,Hoja1!$A$1:$L$82,12,0),"")</f>
        <v/>
      </c>
      <c r="I151" s="56"/>
      <c r="J151" s="93">
        <v>137</v>
      </c>
      <c r="K151" s="92"/>
      <c r="M151" s="89"/>
      <c r="N151" s="62"/>
      <c r="O151" s="62"/>
      <c r="P151" s="62"/>
      <c r="Q151" s="62"/>
      <c r="R151" s="62"/>
      <c r="S151" s="62"/>
    </row>
    <row r="152" spans="2:19" s="52" customFormat="1" ht="99.75" customHeight="1" x14ac:dyDescent="0.2">
      <c r="B152" s="151">
        <f t="shared" si="4"/>
        <v>138</v>
      </c>
      <c r="C152" s="152" t="str">
        <f>+IFERROR(INDEX(Hoja1!$A$2:$A$82,MATCH(J152,Hoja1!$H$2:$H$82,0)),"")</f>
        <v/>
      </c>
      <c r="D152" s="153" t="str">
        <f>IFERROR(VLOOKUP(C152,Hoja1!$A$2:$H$82,4,0),"")</f>
        <v/>
      </c>
      <c r="E152" s="153" t="str">
        <f>+IFERROR(VLOOKUP(C152,Hoja1!$A$1:$J$82,10,0),"")</f>
        <v/>
      </c>
      <c r="F152" s="153" t="str">
        <f>+IFERROR(VLOOKUP(C152,Hoja1!$A$1:$I$82,3,0),"")</f>
        <v/>
      </c>
      <c r="G152" s="152" t="str">
        <f>+IFERROR(VLOOKUP(C152,Hoja1!$A$1:$K$82,11,0),"")</f>
        <v/>
      </c>
      <c r="H152" s="154" t="str">
        <f>+IFERROR(VLOOKUP(C152,Hoja1!$A$1:$L$82,12,0),"")</f>
        <v/>
      </c>
      <c r="I152" s="56"/>
      <c r="J152" s="93">
        <v>138</v>
      </c>
      <c r="K152" s="92"/>
      <c r="M152" s="89"/>
      <c r="N152" s="62"/>
      <c r="O152" s="62"/>
      <c r="P152" s="62"/>
      <c r="Q152" s="62"/>
      <c r="R152" s="62"/>
      <c r="S152" s="62"/>
    </row>
    <row r="153" spans="2:19" s="52" customFormat="1" ht="99.75" customHeight="1" x14ac:dyDescent="0.2">
      <c r="B153" s="151">
        <f t="shared" si="4"/>
        <v>139</v>
      </c>
      <c r="C153" s="152" t="str">
        <f>+IFERROR(INDEX(Hoja1!$A$2:$A$82,MATCH(J153,Hoja1!$H$2:$H$82,0)),"")</f>
        <v/>
      </c>
      <c r="D153" s="153" t="str">
        <f>IFERROR(VLOOKUP(C153,Hoja1!$A$2:$H$82,4,0),"")</f>
        <v/>
      </c>
      <c r="E153" s="153" t="str">
        <f>+IFERROR(VLOOKUP(C153,Hoja1!$A$1:$J$82,10,0),"")</f>
        <v/>
      </c>
      <c r="F153" s="153" t="str">
        <f>+IFERROR(VLOOKUP(C153,Hoja1!$A$1:$I$82,3,0),"")</f>
        <v/>
      </c>
      <c r="G153" s="152" t="str">
        <f>+IFERROR(VLOOKUP(C153,Hoja1!$A$1:$K$82,11,0),"")</f>
        <v/>
      </c>
      <c r="H153" s="154" t="str">
        <f>+IFERROR(VLOOKUP(C153,Hoja1!$A$1:$L$82,12,0),"")</f>
        <v/>
      </c>
      <c r="I153" s="56"/>
      <c r="J153" s="93">
        <v>139</v>
      </c>
      <c r="K153" s="92"/>
      <c r="M153" s="89"/>
      <c r="N153" s="62"/>
      <c r="O153" s="62"/>
      <c r="P153" s="62"/>
      <c r="Q153" s="62"/>
      <c r="R153" s="62"/>
      <c r="S153" s="62"/>
    </row>
    <row r="154" spans="2:19" s="52" customFormat="1" ht="99.75" customHeight="1" x14ac:dyDescent="0.2">
      <c r="B154" s="151">
        <f t="shared" si="4"/>
        <v>140</v>
      </c>
      <c r="C154" s="152" t="str">
        <f>+IFERROR(INDEX(Hoja1!$A$2:$A$82,MATCH(J154,Hoja1!$H$2:$H$82,0)),"")</f>
        <v/>
      </c>
      <c r="D154" s="153" t="str">
        <f>IFERROR(VLOOKUP(C154,Hoja1!$A$2:$H$82,4,0),"")</f>
        <v/>
      </c>
      <c r="E154" s="153" t="str">
        <f>+IFERROR(VLOOKUP(C154,Hoja1!$A$1:$J$82,10,0),"")</f>
        <v/>
      </c>
      <c r="F154" s="153" t="str">
        <f>+IFERROR(VLOOKUP(C154,Hoja1!$A$1:$I$82,3,0),"")</f>
        <v/>
      </c>
      <c r="G154" s="152" t="str">
        <f>+IFERROR(VLOOKUP(C154,Hoja1!$A$1:$K$82,11,0),"")</f>
        <v/>
      </c>
      <c r="H154" s="154" t="str">
        <f>+IFERROR(VLOOKUP(C154,Hoja1!$A$1:$L$82,12,0),"")</f>
        <v/>
      </c>
      <c r="I154" s="56"/>
      <c r="J154" s="93">
        <v>140</v>
      </c>
      <c r="K154" s="92"/>
      <c r="M154" s="89"/>
      <c r="N154" s="62"/>
      <c r="O154" s="62"/>
      <c r="P154" s="62"/>
      <c r="Q154" s="62"/>
      <c r="R154" s="62"/>
      <c r="S154" s="62"/>
    </row>
    <row r="155" spans="2:19" s="52" customFormat="1" ht="99.75" customHeight="1" x14ac:dyDescent="0.2">
      <c r="B155" s="155">
        <f t="shared" si="4"/>
        <v>141</v>
      </c>
      <c r="C155" s="152" t="str">
        <f>+IFERROR(INDEX(Hoja1!$A$2:$A$82,MATCH(J155,Hoja1!$H$2:$H$82,0)),"")</f>
        <v/>
      </c>
      <c r="D155" s="153" t="str">
        <f>IFERROR(VLOOKUP(C155,Hoja1!$A$2:$H$82,4,0),"")</f>
        <v/>
      </c>
      <c r="E155" s="153" t="str">
        <f>+IFERROR(VLOOKUP(C155,Hoja1!$A$1:$J$82,10,0),"")</f>
        <v/>
      </c>
      <c r="F155" s="153" t="str">
        <f>+IFERROR(VLOOKUP(C155,Hoja1!$A$1:$I$82,3,0),"")</f>
        <v/>
      </c>
      <c r="G155" s="152" t="str">
        <f>+IFERROR(VLOOKUP(C155,Hoja1!$A$1:$K$82,11,0),"")</f>
        <v/>
      </c>
      <c r="H155" s="154" t="str">
        <f>+IFERROR(VLOOKUP(C155,Hoja1!$A$1:$L$82,12,0),"")</f>
        <v/>
      </c>
      <c r="I155" s="56"/>
      <c r="J155" s="93">
        <v>141</v>
      </c>
      <c r="K155" s="92"/>
      <c r="M155" s="89"/>
      <c r="N155" s="62"/>
      <c r="O155" s="62"/>
      <c r="P155" s="62"/>
      <c r="Q155" s="62"/>
      <c r="R155" s="62"/>
      <c r="S155" s="62"/>
    </row>
    <row r="156" spans="2:19" s="52" customFormat="1" ht="99.75" customHeight="1" x14ac:dyDescent="0.2">
      <c r="B156" s="151">
        <f t="shared" si="4"/>
        <v>142</v>
      </c>
      <c r="C156" s="152" t="str">
        <f>+IFERROR(INDEX(Hoja1!$A$2:$A$82,MATCH(J156,Hoja1!$H$2:$H$82,0)),"")</f>
        <v/>
      </c>
      <c r="D156" s="153" t="str">
        <f>IFERROR(VLOOKUP(C156,Hoja1!$A$2:$H$82,4,0),"")</f>
        <v/>
      </c>
      <c r="E156" s="153" t="str">
        <f>+IFERROR(VLOOKUP(C156,Hoja1!$A$1:$J$82,10,0),"")</f>
        <v/>
      </c>
      <c r="F156" s="153" t="str">
        <f>+IFERROR(VLOOKUP(C156,Hoja1!$A$1:$I$82,3,0),"")</f>
        <v/>
      </c>
      <c r="G156" s="152" t="str">
        <f>+IFERROR(VLOOKUP(C156,Hoja1!$A$1:$K$82,11,0),"")</f>
        <v/>
      </c>
      <c r="H156" s="154" t="str">
        <f>+IFERROR(VLOOKUP(C156,Hoja1!$A$1:$L$82,12,0),"")</f>
        <v/>
      </c>
      <c r="I156" s="56"/>
      <c r="J156" s="93">
        <v>142</v>
      </c>
      <c r="K156" s="92"/>
      <c r="M156" s="89"/>
      <c r="N156" s="62"/>
      <c r="O156" s="62"/>
      <c r="P156" s="62"/>
      <c r="Q156" s="62"/>
      <c r="R156" s="62"/>
      <c r="S156" s="62"/>
    </row>
    <row r="157" spans="2:19" s="52" customFormat="1" ht="99.75" customHeight="1" x14ac:dyDescent="0.2">
      <c r="B157" s="151">
        <f t="shared" si="4"/>
        <v>143</v>
      </c>
      <c r="C157" s="152" t="str">
        <f>+IFERROR(INDEX(Hoja1!$A$2:$A$82,MATCH(J157,Hoja1!$H$2:$H$82,0)),"")</f>
        <v/>
      </c>
      <c r="D157" s="153" t="str">
        <f>IFERROR(VLOOKUP(C157,Hoja1!$A$2:$H$82,4,0),"")</f>
        <v/>
      </c>
      <c r="E157" s="153" t="str">
        <f>+IFERROR(VLOOKUP(C157,Hoja1!$A$1:$J$82,10,0),"")</f>
        <v/>
      </c>
      <c r="F157" s="153" t="str">
        <f>+IFERROR(VLOOKUP(C157,Hoja1!$A$1:$I$82,3,0),"")</f>
        <v/>
      </c>
      <c r="G157" s="152" t="str">
        <f>+IFERROR(VLOOKUP(C157,Hoja1!$A$1:$K$82,11,0),"")</f>
        <v/>
      </c>
      <c r="H157" s="154" t="str">
        <f>+IFERROR(VLOOKUP(C157,Hoja1!$A$1:$L$82,12,0),"")</f>
        <v/>
      </c>
      <c r="I157" s="56"/>
      <c r="J157" s="93">
        <v>143</v>
      </c>
      <c r="K157" s="92"/>
      <c r="M157" s="89"/>
      <c r="N157" s="62"/>
      <c r="O157" s="62"/>
      <c r="P157" s="62"/>
      <c r="Q157" s="62"/>
      <c r="R157" s="62"/>
      <c r="S157" s="62"/>
    </row>
    <row r="158" spans="2:19" s="52" customFormat="1" ht="99.75" customHeight="1" x14ac:dyDescent="0.2">
      <c r="B158" s="151">
        <f t="shared" si="4"/>
        <v>144</v>
      </c>
      <c r="C158" s="152" t="str">
        <f>+IFERROR(INDEX(Hoja1!$A$2:$A$82,MATCH(J158,Hoja1!$H$2:$H$82,0)),"")</f>
        <v/>
      </c>
      <c r="D158" s="153" t="str">
        <f>IFERROR(VLOOKUP(C158,Hoja1!$A$2:$H$82,4,0),"")</f>
        <v/>
      </c>
      <c r="E158" s="153" t="str">
        <f>+IFERROR(VLOOKUP(C158,Hoja1!$A$1:$J$82,10,0),"")</f>
        <v/>
      </c>
      <c r="F158" s="153" t="str">
        <f>+IFERROR(VLOOKUP(C158,Hoja1!$A$1:$I$82,3,0),"")</f>
        <v/>
      </c>
      <c r="G158" s="152" t="str">
        <f>+IFERROR(VLOOKUP(C158,Hoja1!$A$1:$K$82,11,0),"")</f>
        <v/>
      </c>
      <c r="H158" s="154" t="str">
        <f>+IFERROR(VLOOKUP(C158,Hoja1!$A$1:$L$82,12,0),"")</f>
        <v/>
      </c>
      <c r="I158" s="56"/>
      <c r="J158" s="93">
        <v>144</v>
      </c>
      <c r="K158" s="92"/>
      <c r="M158" s="89"/>
      <c r="N158" s="62"/>
      <c r="O158" s="62"/>
      <c r="P158" s="62"/>
      <c r="Q158" s="62"/>
      <c r="R158" s="62"/>
      <c r="S158" s="62"/>
    </row>
    <row r="159" spans="2:19" s="52" customFormat="1" ht="99.75" customHeight="1" x14ac:dyDescent="0.2">
      <c r="B159" s="151">
        <f t="shared" si="4"/>
        <v>145</v>
      </c>
      <c r="C159" s="152" t="str">
        <f>+IFERROR(INDEX(Hoja1!$A$2:$A$82,MATCH(J159,Hoja1!$H$2:$H$82,0)),"")</f>
        <v/>
      </c>
      <c r="D159" s="153" t="str">
        <f>IFERROR(VLOOKUP(C159,Hoja1!$A$2:$H$82,4,0),"")</f>
        <v/>
      </c>
      <c r="E159" s="153" t="str">
        <f>+IFERROR(VLOOKUP(C159,Hoja1!$A$1:$J$82,10,0),"")</f>
        <v/>
      </c>
      <c r="F159" s="153" t="str">
        <f>+IFERROR(VLOOKUP(C159,Hoja1!$A$1:$I$82,3,0),"")</f>
        <v/>
      </c>
      <c r="G159" s="152" t="str">
        <f>+IFERROR(VLOOKUP(C159,Hoja1!$A$1:$K$82,11,0),"")</f>
        <v/>
      </c>
      <c r="H159" s="154" t="str">
        <f>+IFERROR(VLOOKUP(C159,Hoja1!$A$1:$L$82,12,0),"")</f>
        <v/>
      </c>
      <c r="I159" s="56"/>
      <c r="J159" s="93">
        <v>145</v>
      </c>
      <c r="K159" s="92"/>
      <c r="M159" s="89"/>
      <c r="N159" s="62"/>
      <c r="O159" s="62"/>
      <c r="P159" s="62"/>
      <c r="Q159" s="62"/>
      <c r="R159" s="62"/>
      <c r="S159" s="62"/>
    </row>
    <row r="160" spans="2:19" s="52" customFormat="1" ht="99.75" customHeight="1" x14ac:dyDescent="0.2">
      <c r="B160" s="155">
        <f t="shared" si="4"/>
        <v>146</v>
      </c>
      <c r="C160" s="152" t="str">
        <f>+IFERROR(INDEX(Hoja1!$A$2:$A$82,MATCH(J160,Hoja1!$H$2:$H$82,0)),"")</f>
        <v/>
      </c>
      <c r="D160" s="153" t="str">
        <f>IFERROR(VLOOKUP(C160,Hoja1!$A$2:$H$82,4,0),"")</f>
        <v/>
      </c>
      <c r="E160" s="153" t="str">
        <f>+IFERROR(VLOOKUP(C160,Hoja1!$A$1:$J$82,10,0),"")</f>
        <v/>
      </c>
      <c r="F160" s="153" t="str">
        <f>+IFERROR(VLOOKUP(C160,Hoja1!$A$1:$I$82,3,0),"")</f>
        <v/>
      </c>
      <c r="G160" s="152" t="str">
        <f>+IFERROR(VLOOKUP(C160,Hoja1!$A$1:$K$82,11,0),"")</f>
        <v/>
      </c>
      <c r="H160" s="154" t="str">
        <f>+IFERROR(VLOOKUP(C160,Hoja1!$A$1:$L$82,12,0),"")</f>
        <v/>
      </c>
      <c r="I160" s="56"/>
      <c r="J160" s="93">
        <v>146</v>
      </c>
      <c r="K160" s="92"/>
      <c r="M160" s="89"/>
      <c r="N160" s="62"/>
      <c r="O160" s="62"/>
      <c r="P160" s="62"/>
      <c r="Q160" s="62"/>
      <c r="R160" s="62"/>
      <c r="S160" s="62"/>
    </row>
    <row r="161" spans="2:19" s="52" customFormat="1" ht="99.75" customHeight="1" x14ac:dyDescent="0.2">
      <c r="B161" s="151">
        <f t="shared" si="4"/>
        <v>147</v>
      </c>
      <c r="C161" s="152" t="str">
        <f>+IFERROR(INDEX(Hoja1!$A$2:$A$82,MATCH(J161,Hoja1!$H$2:$H$82,0)),"")</f>
        <v/>
      </c>
      <c r="D161" s="153" t="str">
        <f>IFERROR(VLOOKUP(C161,Hoja1!$A$2:$H$82,4,0),"")</f>
        <v/>
      </c>
      <c r="E161" s="153" t="str">
        <f>+IFERROR(VLOOKUP(C161,Hoja1!$A$1:$J$82,10,0),"")</f>
        <v/>
      </c>
      <c r="F161" s="153" t="str">
        <f>+IFERROR(VLOOKUP(C161,Hoja1!$A$1:$I$82,3,0),"")</f>
        <v/>
      </c>
      <c r="G161" s="152" t="str">
        <f>+IFERROR(VLOOKUP(C161,Hoja1!$A$1:$K$82,11,0),"")</f>
        <v/>
      </c>
      <c r="H161" s="154" t="str">
        <f>+IFERROR(VLOOKUP(C161,Hoja1!$A$1:$L$82,12,0),"")</f>
        <v/>
      </c>
      <c r="I161" s="56"/>
      <c r="J161" s="93">
        <v>147</v>
      </c>
      <c r="K161" s="92"/>
      <c r="M161" s="89"/>
      <c r="N161" s="62"/>
      <c r="O161" s="62"/>
      <c r="P161" s="62"/>
      <c r="Q161" s="62"/>
      <c r="R161" s="62"/>
      <c r="S161" s="62"/>
    </row>
    <row r="162" spans="2:19" s="52" customFormat="1" ht="99.75" customHeight="1" x14ac:dyDescent="0.2">
      <c r="B162" s="151">
        <f t="shared" si="4"/>
        <v>148</v>
      </c>
      <c r="C162" s="152" t="str">
        <f>+IFERROR(INDEX(Hoja1!$A$2:$A$82,MATCH(J162,Hoja1!$H$2:$H$82,0)),"")</f>
        <v/>
      </c>
      <c r="D162" s="153" t="str">
        <f>IFERROR(VLOOKUP(C162,Hoja1!$A$2:$H$82,4,0),"")</f>
        <v/>
      </c>
      <c r="E162" s="153" t="str">
        <f>+IFERROR(VLOOKUP(C162,Hoja1!$A$1:$J$82,10,0),"")</f>
        <v/>
      </c>
      <c r="F162" s="153" t="str">
        <f>+IFERROR(VLOOKUP(C162,Hoja1!$A$1:$I$82,3,0),"")</f>
        <v/>
      </c>
      <c r="G162" s="152" t="str">
        <f>+IFERROR(VLOOKUP(C162,Hoja1!$A$1:$K$82,11,0),"")</f>
        <v/>
      </c>
      <c r="H162" s="154" t="str">
        <f>+IFERROR(VLOOKUP(C162,Hoja1!$A$1:$L$82,12,0),"")</f>
        <v/>
      </c>
      <c r="I162" s="56"/>
      <c r="J162" s="93">
        <v>148</v>
      </c>
      <c r="K162" s="92"/>
      <c r="M162" s="89"/>
      <c r="N162" s="62"/>
      <c r="O162" s="62"/>
      <c r="P162" s="62"/>
      <c r="Q162" s="62"/>
      <c r="R162" s="62"/>
      <c r="S162" s="62"/>
    </row>
    <row r="163" spans="2:19" s="52" customFormat="1" ht="99.75" customHeight="1" x14ac:dyDescent="0.2">
      <c r="B163" s="151">
        <f t="shared" si="4"/>
        <v>149</v>
      </c>
      <c r="C163" s="152" t="str">
        <f>+IFERROR(INDEX(Hoja1!$A$2:$A$82,MATCH(J163,Hoja1!$H$2:$H$82,0)),"")</f>
        <v/>
      </c>
      <c r="D163" s="153" t="str">
        <f>IFERROR(VLOOKUP(C163,Hoja1!$A$2:$H$82,4,0),"")</f>
        <v/>
      </c>
      <c r="E163" s="153" t="str">
        <f>+IFERROR(VLOOKUP(C163,Hoja1!$A$1:$J$82,10,0),"")</f>
        <v/>
      </c>
      <c r="F163" s="153" t="str">
        <f>+IFERROR(VLOOKUP(C163,Hoja1!$A$1:$I$82,3,0),"")</f>
        <v/>
      </c>
      <c r="G163" s="152" t="str">
        <f>+IFERROR(VLOOKUP(C163,Hoja1!$A$1:$K$82,11,0),"")</f>
        <v/>
      </c>
      <c r="H163" s="154" t="str">
        <f>+IFERROR(VLOOKUP(C163,Hoja1!$A$1:$L$82,12,0),"")</f>
        <v/>
      </c>
      <c r="I163" s="56"/>
      <c r="J163" s="93">
        <v>149</v>
      </c>
      <c r="K163" s="92"/>
      <c r="M163" s="89"/>
      <c r="N163" s="62"/>
      <c r="O163" s="62"/>
      <c r="P163" s="62"/>
      <c r="Q163" s="62"/>
      <c r="R163" s="62"/>
      <c r="S163" s="62"/>
    </row>
    <row r="164" spans="2:19" s="52" customFormat="1" ht="99.75" customHeight="1" thickBot="1" x14ac:dyDescent="0.25">
      <c r="B164" s="156">
        <f t="shared" si="4"/>
        <v>150</v>
      </c>
      <c r="C164" s="157" t="str">
        <f>+IFERROR(INDEX(Hoja1!$A$2:$A$82,MATCH(J164,Hoja1!$H$2:$H$82,0)),"")</f>
        <v/>
      </c>
      <c r="D164" s="158" t="str">
        <f>IFERROR(VLOOKUP(C164,Hoja1!$A$2:$H$82,4,0),"")</f>
        <v/>
      </c>
      <c r="E164" s="158" t="str">
        <f>+IFERROR(VLOOKUP(C164,Hoja1!$A$1:$J$82,10,0),"")</f>
        <v/>
      </c>
      <c r="F164" s="158" t="str">
        <f>+IFERROR(VLOOKUP(C164,Hoja1!$A$1:$I$82,3,0),"")</f>
        <v/>
      </c>
      <c r="G164" s="157" t="str">
        <f>+IFERROR(VLOOKUP(C164,Hoja1!$A$1:$K$82,11,0),"")</f>
        <v/>
      </c>
      <c r="H164" s="159" t="str">
        <f>+IFERROR(VLOOKUP(C164,Hoja1!$A$1:$L$82,12,0),"")</f>
        <v/>
      </c>
      <c r="I164" s="57"/>
      <c r="J164" s="93">
        <v>150</v>
      </c>
      <c r="K164" s="92"/>
      <c r="M164" s="89"/>
      <c r="N164" s="62"/>
      <c r="O164" s="62"/>
      <c r="P164" s="62"/>
      <c r="Q164" s="62"/>
      <c r="R164" s="62"/>
      <c r="S164" s="62"/>
    </row>
  </sheetData>
  <sheetProtection password="D72A" sheet="1" objects="1" scenarios="1" formatCells="0" formatColumns="0" formatRows="0"/>
  <mergeCells count="31">
    <mergeCell ref="N13:S13"/>
    <mergeCell ref="M13:M14"/>
    <mergeCell ref="L15:L38"/>
    <mergeCell ref="L39:L55"/>
    <mergeCell ref="L56:L67"/>
    <mergeCell ref="L68:L81"/>
    <mergeCell ref="L82:L95"/>
    <mergeCell ref="B8:C8"/>
    <mergeCell ref="D8:E8"/>
    <mergeCell ref="B4:L4"/>
    <mergeCell ref="B6:C6"/>
    <mergeCell ref="D6:E6"/>
    <mergeCell ref="B7:C7"/>
    <mergeCell ref="D7:E7"/>
    <mergeCell ref="F6:G6"/>
    <mergeCell ref="F7:G7"/>
    <mergeCell ref="F8:G8"/>
    <mergeCell ref="D9:E9"/>
    <mergeCell ref="B10:C10"/>
    <mergeCell ref="D10:E10"/>
    <mergeCell ref="L13:L14"/>
    <mergeCell ref="K13:K14"/>
    <mergeCell ref="B9:C9"/>
    <mergeCell ref="H13:H14"/>
    <mergeCell ref="F10:G10"/>
    <mergeCell ref="F9:G9"/>
    <mergeCell ref="B11:I11"/>
    <mergeCell ref="B13:B14"/>
    <mergeCell ref="C13:F13"/>
    <mergeCell ref="G13:G14"/>
    <mergeCell ref="I13:I14"/>
  </mergeCells>
  <conditionalFormatting sqref="C15">
    <cfRule type="cellIs" dxfId="50" priority="34" operator="equal">
      <formula>$I$15</formula>
    </cfRule>
    <cfRule type="cellIs" dxfId="49" priority="35" operator="equal">
      <formula>$I$15</formula>
    </cfRule>
  </conditionalFormatting>
  <conditionalFormatting sqref="K15:K92">
    <cfRule type="cellIs" dxfId="48" priority="19" operator="equal">
      <formula>$I$7</formula>
    </cfRule>
    <cfRule type="cellIs" dxfId="47" priority="20" operator="equal">
      <formula>$I$8</formula>
    </cfRule>
    <cfRule type="cellIs" dxfId="46" priority="21" operator="equal">
      <formula>$I$9</formula>
    </cfRule>
    <cfRule type="cellIs" dxfId="45" priority="22" operator="between">
      <formula>0</formula>
      <formula>$I$10</formula>
    </cfRule>
  </conditionalFormatting>
  <conditionalFormatting sqref="L15 L39 L56 L68 L82">
    <cfRule type="cellIs" dxfId="44" priority="15" operator="between">
      <formula>0.76</formula>
      <formula>1</formula>
    </cfRule>
    <cfRule type="cellIs" dxfId="43" priority="16" operator="between">
      <formula>0.51</formula>
      <formula>0.75</formula>
    </cfRule>
    <cfRule type="cellIs" dxfId="42" priority="17" operator="between">
      <formula>0.26</formula>
      <formula>0.5</formula>
    </cfRule>
    <cfRule type="cellIs" dxfId="41" priority="18" operator="between">
      <formula>0</formula>
      <formula>0.25</formula>
    </cfRule>
  </conditionalFormatting>
  <conditionalFormatting sqref="K93:K95">
    <cfRule type="cellIs" dxfId="40" priority="6" operator="equal">
      <formula>$I$7</formula>
    </cfRule>
    <cfRule type="cellIs" dxfId="39" priority="7" operator="equal">
      <formula>$I$8</formula>
    </cfRule>
    <cfRule type="cellIs" dxfId="38" priority="8" operator="equal">
      <formula>$I$9</formula>
    </cfRule>
    <cfRule type="cellIs" dxfId="37" priority="9" operator="between">
      <formula>0</formula>
      <formula>$I$10</formula>
    </cfRule>
  </conditionalFormatting>
  <dataValidations count="1">
    <dataValidation allowBlank="1" showInputMessage="1" showErrorMessage="1" error="Por favor seleccione el id de requerimiento de la lista desplegable." sqref="C15:C164"/>
  </dataValidations>
  <pageMargins left="0.7" right="0.7" top="0.75" bottom="0.75" header="0.3" footer="0.3"/>
  <pageSetup orientation="portrait" r:id="rId1"/>
  <ignoredErrors>
    <ignoredError sqref="G16:H164 K15:K89 K90:K91 K92:K95 L82 L56 L39 L15 L12:L14 L16:L38 L40:L55 L57:L81" unlockedFormula="1"/>
  </ignoredErrors>
  <extLst>
    <ext xmlns:x14="http://schemas.microsoft.com/office/spreadsheetml/2009/9/main" uri="{78C0D931-6437-407d-A8EE-F0AAD7539E65}">
      <x14:conditionalFormattings>
        <x14:conditionalFormatting xmlns:xm="http://schemas.microsoft.com/office/excel/2006/main">
          <x14:cfRule type="containsText" priority="28" operator="containsText" id="{065BEF5A-59AA-4867-A00F-D2B5DB8E7DCC}">
            <xm:f>NOT(ISERROR(SEARCH($H$8,I15)))</xm:f>
            <xm:f>$H$8</xm:f>
            <x14:dxf>
              <fill>
                <patternFill>
                  <bgColor rgb="FF92D050"/>
                </patternFill>
              </fill>
            </x14:dxf>
          </x14:cfRule>
          <x14:cfRule type="containsText" priority="29" operator="containsText" id="{8D8F3268-9D72-481F-BF74-B93D54DCBBC0}">
            <xm:f>NOT(ISERROR(SEARCH($F$7,I15)))</xm:f>
            <xm:f>$F$7</xm:f>
            <x14:dxf>
              <fill>
                <patternFill>
                  <bgColor rgb="FF00B050"/>
                </patternFill>
              </fill>
            </x14:dxf>
          </x14:cfRule>
          <x14:cfRule type="containsText" priority="30" operator="containsText" id="{1334A9F6-A3BB-4CAE-B3E9-5DFB7F64BFA3}">
            <xm:f>NOT(ISERROR(SEARCH($F$8,I15)))</xm:f>
            <xm:f>$F$8</xm:f>
            <x14:dxf>
              <fill>
                <patternFill>
                  <bgColor rgb="FF00B0F0"/>
                </patternFill>
              </fill>
            </x14:dxf>
          </x14:cfRule>
          <x14:cfRule type="containsText" priority="31" operator="containsText" id="{A3CFC4D7-ADD0-45A5-AC4E-172F58E9E0B2}">
            <xm:f>NOT(ISERROR(SEARCH($F$9,I15)))</xm:f>
            <xm:f>$F$9</xm:f>
            <x14:dxf>
              <fill>
                <patternFill>
                  <bgColor rgb="FFFFFF00"/>
                </patternFill>
              </fill>
            </x14:dxf>
          </x14:cfRule>
          <x14:cfRule type="containsText" priority="32" operator="containsText" id="{89E903F4-11B9-438B-924A-4FBDD1E2A93C}">
            <xm:f>NOT(ISERROR(SEARCH($F$10,I15)))</xm:f>
            <xm:f>$F$10</xm:f>
            <x14:dxf>
              <fill>
                <patternFill>
                  <bgColor rgb="FFFF0000"/>
                </patternFill>
              </fill>
            </x14:dxf>
          </x14:cfRule>
          <xm:sqref>I15</xm:sqref>
        </x14:conditionalFormatting>
        <x14:conditionalFormatting xmlns:xm="http://schemas.microsoft.com/office/excel/2006/main">
          <x14:cfRule type="containsText" priority="1" operator="containsText" id="{5E2F26C5-CF1D-4EC6-BBEF-362A038FC912}">
            <xm:f>NOT(ISERROR(SEARCH($H$8,I16)))</xm:f>
            <xm:f>$H$8</xm:f>
            <x14:dxf>
              <fill>
                <patternFill>
                  <bgColor rgb="FF92D050"/>
                </patternFill>
              </fill>
            </x14:dxf>
          </x14:cfRule>
          <x14:cfRule type="containsText" priority="2" operator="containsText" id="{0224A7CA-1E76-4F4F-A8C5-40297882330D}">
            <xm:f>NOT(ISERROR(SEARCH($F$7,I16)))</xm:f>
            <xm:f>$F$7</xm:f>
            <x14:dxf>
              <fill>
                <patternFill>
                  <bgColor rgb="FF00B050"/>
                </patternFill>
              </fill>
            </x14:dxf>
          </x14:cfRule>
          <x14:cfRule type="containsText" priority="3" operator="containsText" id="{0E8AB5C2-6A6C-4527-B832-E0C6EBC38C20}">
            <xm:f>NOT(ISERROR(SEARCH($F$8,I16)))</xm:f>
            <xm:f>$F$8</xm:f>
            <x14:dxf>
              <fill>
                <patternFill>
                  <bgColor rgb="FF00B0F0"/>
                </patternFill>
              </fill>
            </x14:dxf>
          </x14:cfRule>
          <x14:cfRule type="containsText" priority="4" operator="containsText" id="{C640A1DB-4AF0-46BD-A428-31AC18045175}">
            <xm:f>NOT(ISERROR(SEARCH($F$9,I16)))</xm:f>
            <xm:f>$F$9</xm:f>
            <x14:dxf>
              <fill>
                <patternFill>
                  <bgColor rgb="FFFFFF00"/>
                </patternFill>
              </fill>
            </x14:dxf>
          </x14:cfRule>
          <x14:cfRule type="containsText" priority="5" operator="containsText" id="{19CC59A2-16AE-491B-8AEA-184D76FD7C64}">
            <xm:f>NOT(ISERROR(SEARCH($F$10,I16)))</xm:f>
            <xm:f>$F$10</xm:f>
            <x14:dxf>
              <fill>
                <patternFill>
                  <bgColor rgb="FFFF0000"/>
                </patternFill>
              </fill>
            </x14:dxf>
          </x14:cfRule>
          <xm:sqref>I16:I95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view="pageBreakPreview" topLeftCell="B1" zoomScale="60" zoomScaleNormal="70" workbookViewId="0">
      <selection activeCell="C23" sqref="C23:O24"/>
    </sheetView>
  </sheetViews>
  <sheetFormatPr baseColWidth="10" defaultColWidth="11.42578125" defaultRowHeight="12.75" x14ac:dyDescent="0.2"/>
  <cols>
    <col min="1" max="1" width="3.140625" style="47" customWidth="1"/>
    <col min="2" max="2" width="3.42578125" style="47" customWidth="1"/>
    <col min="3" max="3" width="35.5703125" style="47" customWidth="1"/>
    <col min="4" max="4" width="2.5703125" style="47" customWidth="1"/>
    <col min="5" max="5" width="38.7109375" style="47" customWidth="1"/>
    <col min="6" max="6" width="3.5703125" style="47" customWidth="1"/>
    <col min="7" max="7" width="23.42578125" style="47" customWidth="1"/>
    <col min="8" max="8" width="3" style="47" customWidth="1"/>
    <col min="9" max="9" width="68.140625" style="47" customWidth="1"/>
    <col min="10" max="10" width="3.42578125" style="47" customWidth="1"/>
    <col min="11" max="11" width="28.140625" style="47" customWidth="1"/>
    <col min="12" max="12" width="2.5703125" style="47" customWidth="1"/>
    <col min="13" max="13" width="78.7109375" style="47" customWidth="1"/>
    <col min="14" max="14" width="4" style="47" customWidth="1"/>
    <col min="15" max="15" width="24.85546875" style="47" customWidth="1"/>
    <col min="16" max="16" width="7" style="47" customWidth="1"/>
    <col min="17" max="16384" width="11.42578125" style="47"/>
  </cols>
  <sheetData>
    <row r="1" spans="2:16" ht="13.5" thickBot="1" x14ac:dyDescent="0.25"/>
    <row r="2" spans="2:16" ht="18" customHeight="1" thickTop="1" x14ac:dyDescent="0.2">
      <c r="B2" s="30"/>
      <c r="C2" s="31"/>
      <c r="D2" s="31"/>
      <c r="E2" s="31"/>
      <c r="F2" s="31"/>
      <c r="G2" s="31"/>
      <c r="H2" s="31"/>
      <c r="I2" s="31"/>
      <c r="J2" s="31"/>
      <c r="K2" s="31"/>
      <c r="L2" s="31"/>
      <c r="M2" s="31"/>
      <c r="N2" s="31"/>
      <c r="O2" s="31"/>
    </row>
    <row r="3" spans="2:16" ht="18" customHeight="1" x14ac:dyDescent="0.3">
      <c r="B3" s="33"/>
      <c r="C3" s="34"/>
      <c r="D3" s="34"/>
      <c r="E3" s="738" t="s">
        <v>310</v>
      </c>
      <c r="F3" s="750" t="s">
        <v>671</v>
      </c>
      <c r="G3" s="750"/>
      <c r="H3" s="750"/>
      <c r="I3" s="750"/>
      <c r="J3" s="750"/>
      <c r="K3" s="750"/>
      <c r="L3" s="750"/>
      <c r="M3" s="750"/>
      <c r="N3" s="186"/>
      <c r="O3" s="186"/>
    </row>
    <row r="4" spans="2:16" ht="18" customHeight="1" x14ac:dyDescent="0.3">
      <c r="B4" s="33"/>
      <c r="C4" s="34"/>
      <c r="D4" s="34"/>
      <c r="E4" s="739"/>
      <c r="F4" s="750"/>
      <c r="G4" s="750"/>
      <c r="H4" s="750"/>
      <c r="I4" s="750"/>
      <c r="J4" s="750"/>
      <c r="K4" s="750"/>
      <c r="L4" s="750"/>
      <c r="M4" s="750"/>
      <c r="N4" s="186"/>
      <c r="O4" s="186"/>
    </row>
    <row r="5" spans="2:16" ht="41.25" customHeight="1" x14ac:dyDescent="0.3">
      <c r="B5" s="33"/>
      <c r="C5" s="34"/>
      <c r="D5" s="34"/>
      <c r="E5" s="130" t="s">
        <v>311</v>
      </c>
      <c r="F5" s="751" t="s">
        <v>672</v>
      </c>
      <c r="G5" s="752"/>
      <c r="H5" s="752"/>
      <c r="I5" s="752"/>
      <c r="J5" s="752"/>
      <c r="K5" s="752"/>
      <c r="L5" s="752"/>
      <c r="M5" s="753"/>
      <c r="N5" s="187"/>
      <c r="O5" s="187"/>
    </row>
    <row r="6" spans="2:16" ht="18" customHeight="1" thickBot="1" x14ac:dyDescent="0.35">
      <c r="B6" s="33"/>
      <c r="C6" s="34"/>
      <c r="D6" s="34"/>
      <c r="E6" s="65"/>
      <c r="F6" s="187"/>
      <c r="G6" s="187"/>
      <c r="H6" s="187"/>
      <c r="I6" s="187"/>
      <c r="J6" s="187"/>
      <c r="K6" s="187"/>
      <c r="L6" s="187"/>
      <c r="M6" s="34"/>
      <c r="N6" s="34"/>
      <c r="O6" s="34"/>
    </row>
    <row r="7" spans="2:16" ht="93" customHeight="1" thickBot="1" x14ac:dyDescent="0.25">
      <c r="B7" s="33"/>
      <c r="C7" s="34"/>
      <c r="D7" s="34"/>
      <c r="E7" s="34"/>
      <c r="F7" s="34"/>
      <c r="G7" s="34"/>
      <c r="H7" s="34"/>
      <c r="I7" s="740" t="s">
        <v>312</v>
      </c>
      <c r="J7" s="741"/>
      <c r="K7" s="742"/>
      <c r="L7" s="34"/>
      <c r="M7" s="749">
        <f>+AVERAGE(G25,G27,G29,G31,G33)</f>
        <v>0.4954481792717087</v>
      </c>
      <c r="N7" s="76"/>
      <c r="O7" s="76"/>
    </row>
    <row r="8" spans="2:16" ht="18" customHeight="1" x14ac:dyDescent="0.25">
      <c r="B8" s="33"/>
      <c r="C8" s="34"/>
      <c r="D8" s="34"/>
      <c r="E8" s="34"/>
      <c r="F8" s="34"/>
      <c r="G8" s="34"/>
      <c r="H8" s="34"/>
      <c r="I8" s="34"/>
      <c r="J8" s="34"/>
      <c r="K8" s="34"/>
      <c r="L8" s="34"/>
      <c r="M8" s="67"/>
      <c r="N8" s="67"/>
      <c r="O8" s="67"/>
    </row>
    <row r="9" spans="2:16" ht="18" customHeight="1" x14ac:dyDescent="0.2">
      <c r="B9" s="33"/>
      <c r="C9" s="34"/>
      <c r="D9" s="34"/>
      <c r="E9" s="34"/>
      <c r="F9" s="34"/>
      <c r="G9" s="34"/>
      <c r="H9" s="34"/>
      <c r="I9" s="34"/>
      <c r="J9" s="34"/>
      <c r="K9" s="34"/>
      <c r="L9" s="34"/>
      <c r="M9" s="34"/>
      <c r="N9" s="34"/>
      <c r="O9" s="34"/>
    </row>
    <row r="10" spans="2:16" x14ac:dyDescent="0.2">
      <c r="B10" s="33"/>
      <c r="C10" s="34"/>
      <c r="D10" s="34"/>
      <c r="E10" s="34"/>
      <c r="F10" s="34"/>
      <c r="G10" s="34"/>
      <c r="H10" s="34"/>
      <c r="I10" s="34"/>
      <c r="J10" s="34"/>
      <c r="K10" s="34"/>
      <c r="L10" s="34"/>
      <c r="M10" s="34"/>
      <c r="N10" s="34"/>
      <c r="O10" s="34"/>
    </row>
    <row r="11" spans="2:16" x14ac:dyDescent="0.2">
      <c r="B11" s="33"/>
      <c r="C11" s="34"/>
      <c r="D11" s="34"/>
      <c r="E11" s="34"/>
      <c r="F11" s="34"/>
      <c r="G11" s="34"/>
      <c r="H11" s="34"/>
      <c r="I11" s="34"/>
      <c r="J11" s="34"/>
      <c r="K11" s="34"/>
      <c r="L11" s="34"/>
      <c r="M11" s="34"/>
      <c r="N11" s="34"/>
      <c r="O11" s="34"/>
    </row>
    <row r="12" spans="2:16" x14ac:dyDescent="0.2">
      <c r="B12" s="33"/>
      <c r="C12" s="34"/>
      <c r="D12" s="34"/>
      <c r="E12" s="34"/>
      <c r="F12" s="34"/>
      <c r="G12" s="34"/>
      <c r="H12" s="34"/>
      <c r="I12" s="34"/>
      <c r="J12" s="34"/>
      <c r="K12" s="34"/>
      <c r="L12" s="34"/>
      <c r="M12" s="34"/>
      <c r="N12" s="34"/>
      <c r="O12" s="34"/>
    </row>
    <row r="13" spans="2:16" x14ac:dyDescent="0.2">
      <c r="B13" s="33"/>
      <c r="C13" s="34"/>
      <c r="D13" s="34"/>
      <c r="E13" s="34"/>
      <c r="F13" s="34"/>
      <c r="G13" s="34"/>
      <c r="H13" s="34"/>
      <c r="I13" s="34"/>
      <c r="J13" s="34"/>
      <c r="K13" s="34"/>
      <c r="L13" s="34"/>
      <c r="M13" s="34"/>
      <c r="N13" s="34"/>
      <c r="O13" s="34"/>
    </row>
    <row r="14" spans="2:16" x14ac:dyDescent="0.2">
      <c r="B14" s="33"/>
      <c r="C14" s="34"/>
      <c r="D14" s="34"/>
      <c r="E14" s="34"/>
      <c r="F14" s="34"/>
      <c r="G14" s="34"/>
      <c r="H14" s="34"/>
      <c r="I14" s="34"/>
      <c r="J14" s="34"/>
      <c r="K14" s="34"/>
      <c r="L14" s="34"/>
      <c r="M14" s="34"/>
      <c r="N14" s="34"/>
      <c r="O14" s="34"/>
    </row>
    <row r="15" spans="2:16" x14ac:dyDescent="0.2">
      <c r="B15" s="33"/>
      <c r="C15" s="34"/>
      <c r="D15" s="34"/>
      <c r="E15" s="34"/>
      <c r="F15" s="34"/>
      <c r="G15" s="34"/>
      <c r="H15" s="34"/>
      <c r="I15" s="34"/>
      <c r="J15" s="34"/>
      <c r="K15" s="34"/>
      <c r="L15" s="34"/>
      <c r="M15" s="34"/>
      <c r="N15" s="34"/>
      <c r="O15" s="34"/>
    </row>
    <row r="16" spans="2:16" x14ac:dyDescent="0.2">
      <c r="B16" s="33"/>
      <c r="C16" s="34"/>
      <c r="D16" s="34"/>
      <c r="E16" s="34"/>
      <c r="F16" s="34"/>
      <c r="G16" s="34"/>
      <c r="H16" s="34"/>
      <c r="I16" s="34"/>
      <c r="J16" s="34"/>
      <c r="K16" s="34"/>
      <c r="L16" s="34"/>
      <c r="M16" s="34"/>
      <c r="N16" s="34"/>
      <c r="O16" s="34"/>
    </row>
    <row r="17" spans="2:22" ht="23.25" x14ac:dyDescent="0.2">
      <c r="B17" s="33"/>
      <c r="C17" s="743" t="s">
        <v>313</v>
      </c>
      <c r="D17" s="744"/>
      <c r="E17" s="744"/>
      <c r="F17" s="744"/>
      <c r="G17" s="744"/>
      <c r="H17" s="744"/>
      <c r="I17" s="744"/>
      <c r="J17" s="744"/>
      <c r="K17" s="744"/>
      <c r="L17" s="744"/>
      <c r="M17" s="745"/>
      <c r="N17" s="77"/>
      <c r="O17" s="77"/>
    </row>
    <row r="18" spans="2:22" ht="15.75" customHeight="1" x14ac:dyDescent="0.2">
      <c r="B18" s="33"/>
      <c r="C18" s="36"/>
      <c r="D18" s="36"/>
      <c r="E18" s="36"/>
      <c r="F18" s="36"/>
      <c r="G18" s="36"/>
      <c r="H18" s="36"/>
      <c r="I18" s="36"/>
      <c r="J18" s="36"/>
      <c r="K18" s="36"/>
      <c r="L18" s="36"/>
      <c r="M18" s="36"/>
      <c r="N18" s="40"/>
      <c r="O18" s="40"/>
    </row>
    <row r="19" spans="2:22" ht="141.75" customHeight="1" x14ac:dyDescent="0.2">
      <c r="B19" s="33"/>
      <c r="C19" s="754" t="s">
        <v>314</v>
      </c>
      <c r="D19" s="755"/>
      <c r="E19" s="173" t="s">
        <v>315</v>
      </c>
      <c r="F19" s="746" t="s">
        <v>673</v>
      </c>
      <c r="G19" s="747"/>
      <c r="H19" s="747"/>
      <c r="I19" s="747"/>
      <c r="J19" s="747"/>
      <c r="K19" s="747"/>
      <c r="L19" s="747"/>
      <c r="M19" s="748"/>
      <c r="N19" s="69"/>
      <c r="O19" s="69"/>
    </row>
    <row r="20" spans="2:22" ht="105.75" customHeight="1" x14ac:dyDescent="0.2">
      <c r="B20" s="33"/>
      <c r="C20" s="754" t="s">
        <v>316</v>
      </c>
      <c r="D20" s="755"/>
      <c r="E20" s="173" t="s">
        <v>317</v>
      </c>
      <c r="F20" s="746" t="s">
        <v>674</v>
      </c>
      <c r="G20" s="747"/>
      <c r="H20" s="747"/>
      <c r="I20" s="747"/>
      <c r="J20" s="747"/>
      <c r="K20" s="747"/>
      <c r="L20" s="747"/>
      <c r="M20" s="748"/>
      <c r="N20" s="69"/>
      <c r="O20" s="69"/>
    </row>
    <row r="21" spans="2:22" ht="143.25" customHeight="1" x14ac:dyDescent="0.2">
      <c r="B21" s="33"/>
      <c r="C21" s="756" t="s">
        <v>318</v>
      </c>
      <c r="D21" s="757"/>
      <c r="E21" s="173" t="s">
        <v>319</v>
      </c>
      <c r="F21" s="746" t="s">
        <v>675</v>
      </c>
      <c r="G21" s="747"/>
      <c r="H21" s="747"/>
      <c r="I21" s="747"/>
      <c r="J21" s="747"/>
      <c r="K21" s="747"/>
      <c r="L21" s="747"/>
      <c r="M21" s="748"/>
      <c r="N21" s="69"/>
      <c r="O21" s="69"/>
    </row>
    <row r="22" spans="2:22" ht="66" customHeight="1" thickBot="1" x14ac:dyDescent="0.25">
      <c r="B22" s="33"/>
      <c r="C22" s="34"/>
      <c r="D22" s="34"/>
      <c r="E22" s="34"/>
      <c r="F22" s="34"/>
      <c r="G22" s="68"/>
      <c r="H22" s="34"/>
      <c r="I22" s="34"/>
      <c r="J22" s="34"/>
      <c r="K22" s="34"/>
      <c r="L22" s="34"/>
      <c r="M22" s="34"/>
      <c r="N22" s="34"/>
      <c r="O22" s="34"/>
    </row>
    <row r="23" spans="2:22" ht="102.75" customHeight="1" thickBot="1" x14ac:dyDescent="0.25">
      <c r="B23" s="33"/>
      <c r="C23" s="123" t="s">
        <v>50</v>
      </c>
      <c r="D23" s="2"/>
      <c r="E23" s="74" t="s">
        <v>320</v>
      </c>
      <c r="F23" s="2"/>
      <c r="G23" s="74" t="s">
        <v>321</v>
      </c>
      <c r="H23" s="2"/>
      <c r="I23" s="119" t="s">
        <v>322</v>
      </c>
      <c r="J23" s="64"/>
      <c r="K23" s="120" t="s">
        <v>323</v>
      </c>
      <c r="L23" s="64"/>
      <c r="M23" s="121" t="s">
        <v>324</v>
      </c>
      <c r="N23" s="64"/>
      <c r="O23" s="122" t="s">
        <v>325</v>
      </c>
    </row>
    <row r="24" spans="2:22" ht="6.75" customHeight="1" x14ac:dyDescent="0.35">
      <c r="B24" s="33"/>
      <c r="C24" s="124"/>
      <c r="D24" s="3"/>
      <c r="E24" s="3"/>
      <c r="F24" s="3"/>
      <c r="G24" s="3"/>
      <c r="H24" s="3"/>
      <c r="I24" s="72"/>
      <c r="J24" s="3"/>
      <c r="K24" s="72"/>
      <c r="L24" s="3"/>
      <c r="M24" s="3"/>
      <c r="N24" s="3"/>
      <c r="O24" s="3"/>
    </row>
    <row r="25" spans="2:22" ht="291.75" customHeight="1" x14ac:dyDescent="0.2">
      <c r="B25" s="33"/>
      <c r="C25" s="125" t="s">
        <v>44</v>
      </c>
      <c r="D25" s="1"/>
      <c r="E25" s="170" t="str">
        <f>+IF(Hoja1!$N$2&gt;=0.5,"Si","No")</f>
        <v>Si</v>
      </c>
      <c r="F25" s="63"/>
      <c r="G25" s="169">
        <f>+Hoja1!N2</f>
        <v>0.58333333333333337</v>
      </c>
      <c r="H25" s="63"/>
      <c r="I25" s="222" t="s">
        <v>681</v>
      </c>
      <c r="J25" s="71"/>
      <c r="K25" s="171">
        <v>0.01</v>
      </c>
      <c r="L25" s="60"/>
      <c r="M25" s="226" t="s">
        <v>676</v>
      </c>
      <c r="N25" s="70"/>
      <c r="O25" s="172">
        <f>G25-K25</f>
        <v>0.57333333333333336</v>
      </c>
    </row>
    <row r="26" spans="2:22" ht="18" customHeight="1" x14ac:dyDescent="0.35">
      <c r="B26" s="33"/>
      <c r="C26" s="124"/>
      <c r="D26" s="4"/>
      <c r="E26" s="5"/>
      <c r="F26" s="3"/>
      <c r="G26" s="59"/>
      <c r="H26" s="3"/>
      <c r="I26" s="73"/>
      <c r="J26" s="3"/>
      <c r="K26" s="72"/>
      <c r="L26" s="3"/>
      <c r="M26" s="6"/>
      <c r="N26" s="6"/>
      <c r="O26" s="75"/>
    </row>
    <row r="27" spans="2:22" ht="205.5" customHeight="1" x14ac:dyDescent="0.2">
      <c r="B27" s="33"/>
      <c r="C27" s="126" t="s">
        <v>326</v>
      </c>
      <c r="D27" s="1"/>
      <c r="E27" s="170" t="str">
        <f>+IF(Hoja1!$N$26&gt;=0.5,"Si","No")</f>
        <v>No</v>
      </c>
      <c r="F27" s="3"/>
      <c r="G27" s="169">
        <f>+Hoja1!N26</f>
        <v>0.41176470588235292</v>
      </c>
      <c r="H27" s="3"/>
      <c r="I27" s="222" t="s">
        <v>682</v>
      </c>
      <c r="J27" s="3"/>
      <c r="K27" s="171">
        <v>0.01</v>
      </c>
      <c r="L27" s="61"/>
      <c r="M27" s="227" t="s">
        <v>677</v>
      </c>
      <c r="N27" s="70"/>
      <c r="O27" s="172">
        <f>G27-K27</f>
        <v>0.40176470588235291</v>
      </c>
    </row>
    <row r="28" spans="2:22" ht="6.75" customHeight="1" x14ac:dyDescent="0.35">
      <c r="B28" s="33"/>
      <c r="C28" s="124"/>
      <c r="D28" s="4"/>
      <c r="E28" s="5"/>
      <c r="F28" s="3"/>
      <c r="G28" s="59"/>
      <c r="H28" s="3"/>
      <c r="I28" s="73"/>
      <c r="J28" s="3"/>
      <c r="K28" s="72"/>
      <c r="L28" s="3"/>
      <c r="M28" s="6"/>
      <c r="N28" s="6"/>
      <c r="O28" s="75"/>
    </row>
    <row r="29" spans="2:22" ht="200.25" customHeight="1" x14ac:dyDescent="0.2">
      <c r="B29" s="33"/>
      <c r="C29" s="127" t="s">
        <v>327</v>
      </c>
      <c r="D29" s="1"/>
      <c r="E29" s="170" t="str">
        <f>+IF(Hoja1!$N$43&gt;=0.5,"Si","No")</f>
        <v>No</v>
      </c>
      <c r="F29" s="3"/>
      <c r="G29" s="169">
        <f>+Hoja1!N43</f>
        <v>0.375</v>
      </c>
      <c r="H29" s="3"/>
      <c r="I29" s="223" t="s">
        <v>683</v>
      </c>
      <c r="J29" s="3"/>
      <c r="K29" s="171">
        <v>0.21</v>
      </c>
      <c r="L29" s="61"/>
      <c r="M29" s="227" t="s">
        <v>678</v>
      </c>
      <c r="N29" s="70"/>
      <c r="O29" s="172">
        <f>G29-K29</f>
        <v>0.16500000000000001</v>
      </c>
    </row>
    <row r="30" spans="2:22" ht="6.75" customHeight="1" x14ac:dyDescent="0.35">
      <c r="B30" s="33"/>
      <c r="C30" s="124"/>
      <c r="D30" s="4"/>
      <c r="E30" s="5"/>
      <c r="F30" s="3"/>
      <c r="G30" s="59"/>
      <c r="H30" s="3"/>
      <c r="I30" s="73"/>
      <c r="J30" s="3"/>
      <c r="K30" s="72"/>
      <c r="L30" s="3"/>
      <c r="M30" s="6"/>
      <c r="N30" s="6"/>
      <c r="O30" s="75"/>
    </row>
    <row r="31" spans="2:22" ht="339.75" customHeight="1" x14ac:dyDescent="0.2">
      <c r="B31" s="33"/>
      <c r="C31" s="128" t="s">
        <v>328</v>
      </c>
      <c r="D31" s="1"/>
      <c r="E31" s="170" t="str">
        <f>+IF(Hoja1!$N$55&gt;=0.5,"Si","No")</f>
        <v>No</v>
      </c>
      <c r="F31" s="3"/>
      <c r="G31" s="169">
        <f>+Hoja1!N55</f>
        <v>0.4642857142857143</v>
      </c>
      <c r="H31" s="3"/>
      <c r="I31" s="224" t="s">
        <v>684</v>
      </c>
      <c r="J31" s="3"/>
      <c r="K31" s="171">
        <v>0.1</v>
      </c>
      <c r="L31" s="61"/>
      <c r="M31" s="228" t="s">
        <v>679</v>
      </c>
      <c r="N31" s="70"/>
      <c r="O31" s="172">
        <f>G31-K31</f>
        <v>0.36428571428571432</v>
      </c>
    </row>
    <row r="32" spans="2:22" ht="6.75" customHeight="1" x14ac:dyDescent="0.35">
      <c r="B32" s="33"/>
      <c r="C32" s="124"/>
      <c r="D32" s="4"/>
      <c r="E32" s="5"/>
      <c r="F32" s="3"/>
      <c r="G32" s="59"/>
      <c r="H32" s="3"/>
      <c r="I32" s="73"/>
      <c r="J32" s="3"/>
      <c r="K32" s="72"/>
      <c r="L32" s="3"/>
      <c r="M32" s="6"/>
      <c r="N32" s="6"/>
      <c r="O32" s="75"/>
    </row>
    <row r="33" spans="2:16" ht="246" customHeight="1" thickBot="1" x14ac:dyDescent="0.25">
      <c r="B33" s="33"/>
      <c r="C33" s="129" t="s">
        <v>329</v>
      </c>
      <c r="D33" s="1"/>
      <c r="E33" s="170" t="str">
        <f>+IF(Hoja1!$N$69&gt;=0.5,"Si","No")</f>
        <v>Si</v>
      </c>
      <c r="F33" s="3"/>
      <c r="G33" s="169">
        <f>+Hoja1!N69</f>
        <v>0.6428571428571429</v>
      </c>
      <c r="H33" s="3"/>
      <c r="I33" s="225" t="s">
        <v>685</v>
      </c>
      <c r="J33" s="3"/>
      <c r="K33" s="171">
        <v>0.05</v>
      </c>
      <c r="L33" s="61"/>
      <c r="M33" s="229" t="s">
        <v>680</v>
      </c>
      <c r="N33" s="70"/>
      <c r="O33" s="172">
        <f>G33-K33</f>
        <v>0.59285714285714286</v>
      </c>
    </row>
  </sheetData>
  <sheetProtection password="D72A" sheet="1" objects="1" scenarios="1" formatCells="0" formatColumns="0" formatRows="0"/>
  <mergeCells count="11">
    <mergeCell ref="C21:D21"/>
    <mergeCell ref="C17:M17"/>
    <mergeCell ref="C19:D19"/>
    <mergeCell ref="F19:M19"/>
    <mergeCell ref="F20:M20"/>
    <mergeCell ref="F21:M21"/>
    <mergeCell ref="F3:M4"/>
    <mergeCell ref="F5:M5"/>
    <mergeCell ref="E3:E4"/>
    <mergeCell ref="C20:D20"/>
    <mergeCell ref="I7:K7"/>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allowBlank="1" showInputMessage="1" showErrorMessage="1" prompt="Celda formulada, información proveniente de la pestaña de deficiencias." sqref="E23"/>
    <dataValidation type="list" allowBlank="1" showInputMessage="1" showErrorMessage="1" sqref="N19:O19">
      <formula1>"Si,No"</formula1>
    </dataValidation>
    <dataValidation type="list" allowBlank="1" showInputMessage="1" showErrorMessage="1" sqref="N20:O20 E20:E21">
      <formula1>"Si, No"</formula1>
    </dataValidation>
    <dataValidation type="list" allowBlank="1" showInputMessage="1" showErrorMessage="1" sqref="E19">
      <formula1>"Si,No,En proceso"</formula1>
    </dataValidation>
  </dataValidations>
  <printOptions horizontalCentered="1"/>
  <pageMargins left="1.1023622047244095" right="0.51181102362204722" top="0.74803149606299213" bottom="0.74803149606299213" header="0.31496062992125984" footer="0.31496062992125984"/>
  <pageSetup paperSize="121" scale="48" orientation="landscape" verticalDpi="300" r:id="rId1"/>
  <rowBreaks count="1" manualBreakCount="1">
    <brk id="22" min="2" max="14" man="1"/>
  </rowBreaks>
  <colBreaks count="1" manualBreakCount="1">
    <brk id="15" min="1" max="36" man="1"/>
  </colBreaks>
  <ignoredErrors>
    <ignoredError sqref="O25 O27 O29 O31 O33" unlockedFormula="1"/>
  </ignoredErrors>
  <drawing r:id="rId2"/>
  <extLst>
    <ext xmlns:x14="http://schemas.microsoft.com/office/spreadsheetml/2009/9/main" uri="{78C0D931-6437-407d-A8EE-F0AAD7539E65}">
      <x14:conditionalFormattings>
        <x14:conditionalFormatting xmlns:xm="http://schemas.microsoft.com/office/excel/2006/main">
          <x14:cfRule type="cellIs" priority="28" operator="between" id="{AC1FC42B-E47F-4E28-8390-539A6FAE60AB}">
            <xm:f>0</xm:f>
            <xm:f>'Analisis de Resultados'!$I$10</xm:f>
            <x14:dxf>
              <fill>
                <patternFill>
                  <bgColor rgb="FFFF0000"/>
                </patternFill>
              </fill>
            </x14:dxf>
          </x14:cfRule>
          <xm:sqref>G25 G27 G29 G31 G33</xm:sqref>
        </x14:conditionalFormatting>
        <x14:conditionalFormatting xmlns:xm="http://schemas.microsoft.com/office/excel/2006/main">
          <x14:cfRule type="cellIs" priority="20" operator="between" id="{89B62F38-33F9-4807-A37E-FBE5EDA20BAD}">
            <xm:f>0</xm:f>
            <xm:f>'Analisis de Resultados'!$I$10</xm:f>
            <x14:dxf>
              <fill>
                <patternFill>
                  <bgColor rgb="FFFF0000"/>
                </patternFill>
              </fill>
            </x14:dxf>
          </x14:cfRule>
          <xm:sqref>K25</xm:sqref>
        </x14:conditionalFormatting>
        <x14:conditionalFormatting xmlns:xm="http://schemas.microsoft.com/office/excel/2006/main">
          <x14:cfRule type="cellIs" priority="16" operator="between" id="{74414D1A-6CA0-411B-BC54-8950C1BC70EC}">
            <xm:f>0</xm:f>
            <xm:f>'Analisis de Resultados'!$I$10</xm:f>
            <x14:dxf>
              <fill>
                <patternFill>
                  <bgColor rgb="FFFF0000"/>
                </patternFill>
              </fill>
            </x14:dxf>
          </x14:cfRule>
          <xm:sqref>K27</xm:sqref>
        </x14:conditionalFormatting>
        <x14:conditionalFormatting xmlns:xm="http://schemas.microsoft.com/office/excel/2006/main">
          <x14:cfRule type="cellIs" priority="12" operator="between" id="{23BFD082-B5A8-477C-BAD4-23E9934FFB34}">
            <xm:f>0</xm:f>
            <xm:f>'Analisis de Resultados'!$I$10</xm:f>
            <x14:dxf>
              <fill>
                <patternFill>
                  <bgColor rgb="FFFF0000"/>
                </patternFill>
              </fill>
            </x14:dxf>
          </x14:cfRule>
          <xm:sqref>K29</xm:sqref>
        </x14:conditionalFormatting>
        <x14:conditionalFormatting xmlns:xm="http://schemas.microsoft.com/office/excel/2006/main">
          <x14:cfRule type="cellIs" priority="8" operator="between" id="{E4CB7794-8664-4CFE-B341-1D3ADC132036}">
            <xm:f>0</xm:f>
            <xm:f>'Analisis de Resultados'!$I$10</xm:f>
            <x14:dxf>
              <fill>
                <patternFill>
                  <bgColor rgb="FFFF0000"/>
                </patternFill>
              </fill>
            </x14:dxf>
          </x14:cfRule>
          <xm:sqref>K31</xm:sqref>
        </x14:conditionalFormatting>
        <x14:conditionalFormatting xmlns:xm="http://schemas.microsoft.com/office/excel/2006/main">
          <x14:cfRule type="cellIs" priority="4" operator="between" id="{0B82901D-DF36-435F-9E16-6E092395D406}">
            <xm:f>0</xm:f>
            <xm:f>'Analisis de Resultados'!$I$10</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Instructivo</vt:lpstr>
      <vt:lpstr>Definiciones</vt:lpstr>
      <vt:lpstr>Ambiente de Control</vt:lpstr>
      <vt:lpstr>Evaluación de riesgos</vt:lpstr>
      <vt:lpstr>Actividades de control</vt:lpstr>
      <vt:lpstr>Info y Comunicación</vt:lpstr>
      <vt:lpstr>Actividades de Monitoreo</vt:lpstr>
      <vt:lpstr>Analisis de Resultados</vt:lpstr>
      <vt:lpstr>Conclusiones</vt:lpstr>
      <vt:lpstr>Hoja1</vt:lpstr>
      <vt:lpstr>Conclusiones!Área_de_impresión</vt:lpstr>
      <vt:lpstr>Conclusiones!Títulos_a_imprimir</vt:lpstr>
    </vt:vector>
  </TitlesOfParts>
  <Manager/>
  <Company>Ernst &amp; Young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Gomez</dc:creator>
  <cp:keywords/>
  <dc:description/>
  <cp:lastModifiedBy>Windows User</cp:lastModifiedBy>
  <cp:revision/>
  <cp:lastPrinted>2022-01-27T19:16:56Z</cp:lastPrinted>
  <dcterms:created xsi:type="dcterms:W3CDTF">2010-10-04T16:34:45Z</dcterms:created>
  <dcterms:modified xsi:type="dcterms:W3CDTF">2022-01-27T19:26:10Z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name="NXPowerLiteLastOptimized" pid="2">
    <vt:lpwstr>1687792</vt:lpwstr>
  </property>
  <property fmtid="{D5CDD505-2E9C-101B-9397-08002B2CF9AE}" name="NXPowerLiteSettings" pid="3">
    <vt:lpwstr>C7000400038000</vt:lpwstr>
  </property>
  <property fmtid="{D5CDD505-2E9C-101B-9397-08002B2CF9AE}" name="NXPowerLiteVersion" pid="4">
    <vt:lpwstr>S10.0.0</vt:lpwstr>
  </property>
</Properties>
</file>